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6년 상가운영처\계약입찰\입찰\두류지하도상가 비상발전기 설치 전기공사\"/>
    </mc:Choice>
  </mc:AlternateContent>
  <xr:revisionPtr revIDLastSave="0" documentId="8_{E459C4F9-BC29-4773-9B70-2EEC0A56660C}" xr6:coauthVersionLast="47" xr6:coauthVersionMax="47" xr10:uidLastSave="{00000000-0000-0000-0000-000000000000}"/>
  <bookViews>
    <workbookView xWindow="8790" yWindow="2880" windowWidth="17685" windowHeight="12435" tabRatio="910" activeTab="1" xr2:uid="{00000000-000D-0000-FFFF-FFFF00000000}"/>
  </bookViews>
  <sheets>
    <sheet name="표지1" sheetId="344" r:id="rId1"/>
    <sheet name="표지(갑지)" sheetId="345" r:id="rId2"/>
    <sheet name="원가계산" sheetId="346" r:id="rId3"/>
    <sheet name="수수료" sheetId="460" r:id="rId4"/>
    <sheet name="집계표" sheetId="347" r:id="rId5"/>
    <sheet name="Chart1" sheetId="610" state="hidden" r:id="rId6"/>
    <sheet name="내역서" sheetId="348" r:id="rId7"/>
    <sheet name="작업부산물" sheetId="745" state="hidden" r:id="rId8"/>
    <sheet name="관급(도급자)" sheetId="482" state="hidden" r:id="rId9"/>
    <sheet name="표지2" sheetId="349" r:id="rId10"/>
    <sheet name="관급자재" sheetId="826" r:id="rId11"/>
    <sheet name="일위집계" sheetId="356" r:id="rId12"/>
    <sheet name="전기일위" sheetId="357" r:id="rId13"/>
    <sheet name="중기사용료--" sheetId="494" state="hidden" r:id="rId14"/>
    <sheet name="중기사용료" sheetId="496" state="hidden" r:id="rId15"/>
    <sheet name="단가산출" sheetId="497" state="hidden" r:id="rId16"/>
    <sheet name="기계경비" sheetId="495" state="hidden" r:id="rId17"/>
    <sheet name="표지4-" sheetId="473" state="hidden" r:id="rId18"/>
    <sheet name="일위산근" sheetId="475" state="hidden" r:id="rId19"/>
    <sheet name="표지3" sheetId="352" r:id="rId20"/>
    <sheet name="3.사회과학관(산)" sheetId="319" state="hidden" r:id="rId21"/>
    <sheet name="표지4" sheetId="355" state="hidden" r:id="rId22"/>
    <sheet name="터파기" sheetId="377" state="hidden" r:id="rId23"/>
    <sheet name="가로등 (2)" sheetId="508" state="hidden" r:id="rId24"/>
    <sheet name="1-3.본관소화기(산)" sheetId="398" state="hidden" r:id="rId25"/>
    <sheet name="1-4.동력" sheetId="722" state="hidden" r:id="rId26"/>
    <sheet name="1-4.동력(산)" sheetId="723" state="hidden" r:id="rId27"/>
    <sheet name="1.인입" sheetId="822" r:id="rId28"/>
    <sheet name="1.인입(산)" sheetId="823" r:id="rId29"/>
    <sheet name="2.외등" sheetId="824" state="hidden" r:id="rId30"/>
    <sheet name="2.외등(산)" sheetId="825" state="hidden" r:id="rId31"/>
    <sheet name="고재산출(STS)" sheetId="617" state="hidden" r:id="rId32"/>
    <sheet name="표지5 (3)" sheetId="642" state="hidden" r:id="rId33"/>
    <sheet name="고재" sheetId="643" state="hidden" r:id="rId34"/>
    <sheet name="3.동력" sheetId="820" state="hidden" r:id="rId35"/>
    <sheet name="3.동력(산)" sheetId="821" state="hidden" r:id="rId36"/>
    <sheet name="2.간선" sheetId="762" r:id="rId37"/>
    <sheet name="2.간선(산)" sheetId="763" r:id="rId38"/>
    <sheet name="고재산출(고철)" sheetId="616" state="hidden" r:id="rId39"/>
    <sheet name="9.태양광" sheetId="814" state="hidden" r:id="rId40"/>
    <sheet name="9.태양광(산)" sheetId="815" state="hidden" r:id="rId41"/>
    <sheet name="11.피뢰" sheetId="816" state="hidden" r:id="rId42"/>
    <sheet name="11.피뢰(산)" sheetId="817" state="hidden" r:id="rId43"/>
    <sheet name="10.가설" sheetId="818" state="hidden" r:id="rId44"/>
    <sheet name="10.가설(산)" sheetId="819" state="hidden" r:id="rId45"/>
    <sheet name="고재산출" sheetId="701" state="hidden" r:id="rId46"/>
    <sheet name="표지5" sheetId="354" r:id="rId47"/>
    <sheet name="단가" sheetId="135" r:id="rId48"/>
    <sheet name="표지5 (2)" sheetId="627" r:id="rId49"/>
    <sheet name="폐기물처리" sheetId="361" state="hidden" r:id="rId50"/>
  </sheets>
  <functionGroups builtInGroupCount="19"/>
  <externalReferences>
    <externalReference r:id="rId51"/>
  </externalReferences>
  <definedNames>
    <definedName name="__IntlFixup" hidden="1">TRUE</definedName>
    <definedName name="_01" localSheetId="23">#REF!</definedName>
    <definedName name="_02" localSheetId="23">#REF!</definedName>
    <definedName name="_03" localSheetId="23">#REF!</definedName>
    <definedName name="_6단" localSheetId="31">#REF!</definedName>
    <definedName name="_6단" localSheetId="38">#REF!</definedName>
    <definedName name="_7단" localSheetId="45">#REF!</definedName>
    <definedName name="_9_0_0_F" localSheetId="33" hidden="1">#REF!</definedName>
    <definedName name="_9_0_0_F" localSheetId="7" hidden="1">#REF!</definedName>
    <definedName name="_9_0_0_F" localSheetId="48" hidden="1">#REF!</definedName>
    <definedName name="_9_0_0_F" localSheetId="32" hidden="1">#REF!</definedName>
    <definedName name="_9_0_0_F" hidden="1">#REF!</definedName>
    <definedName name="_Fill" localSheetId="23" hidden="1">#REF!</definedName>
    <definedName name="_Fill" localSheetId="15" hidden="1">#REF!</definedName>
    <definedName name="_Fill" localSheetId="3" hidden="1">#REF!</definedName>
    <definedName name="_Fill" localSheetId="14" hidden="1">#REF!</definedName>
    <definedName name="_Fill" localSheetId="22" hidden="1">#REF!</definedName>
    <definedName name="_xlnm._FilterDatabase" localSheetId="27" hidden="1">'1.인입'!#REF!</definedName>
    <definedName name="_xlnm._FilterDatabase" localSheetId="28" hidden="1">'1.인입(산)'!#REF!</definedName>
    <definedName name="_xlnm._FilterDatabase" localSheetId="43" hidden="1">'10.가설'!#REF!</definedName>
    <definedName name="_xlnm._FilterDatabase" localSheetId="44" hidden="1">'10.가설(산)'!#REF!</definedName>
    <definedName name="_xlnm._FilterDatabase" localSheetId="41" hidden="1">'11.피뢰'!#REF!</definedName>
    <definedName name="_xlnm._FilterDatabase" localSheetId="42" hidden="1">'11.피뢰(산)'!#REF!</definedName>
    <definedName name="_xlnm._FilterDatabase" localSheetId="24" hidden="1">'1-3.본관소화기(산)'!#REF!</definedName>
    <definedName name="_xlnm._FilterDatabase" localSheetId="25" hidden="1">'1-4.동력'!#REF!</definedName>
    <definedName name="_xlnm._FilterDatabase" localSheetId="26" hidden="1">'1-4.동력(산)'!#REF!</definedName>
    <definedName name="_xlnm._FilterDatabase" localSheetId="36" hidden="1">'2.간선'!#REF!</definedName>
    <definedName name="_xlnm._FilterDatabase" localSheetId="37" hidden="1">'2.간선(산)'!#REF!</definedName>
    <definedName name="_xlnm._FilterDatabase" localSheetId="29" hidden="1">'2.외등'!#REF!</definedName>
    <definedName name="_xlnm._FilterDatabase" localSheetId="30" hidden="1">'2.외등(산)'!#REF!</definedName>
    <definedName name="_xlnm._FilterDatabase" localSheetId="34" hidden="1">'3.동력'!#REF!</definedName>
    <definedName name="_xlnm._FilterDatabase" localSheetId="35" hidden="1">'3.동력(산)'!#REF!</definedName>
    <definedName name="_xlnm._FilterDatabase" localSheetId="20" hidden="1">'3.사회과학관(산)'!#REF!</definedName>
    <definedName name="_xlnm._FilterDatabase" localSheetId="39" hidden="1">'9.태양광'!#REF!</definedName>
    <definedName name="_xlnm._FilterDatabase" localSheetId="40" hidden="1">'9.태양광(산)'!#REF!</definedName>
    <definedName name="_xlnm._FilterDatabase" localSheetId="33" hidden="1">고재!#REF!</definedName>
    <definedName name="_xlnm._FilterDatabase" localSheetId="45" hidden="1">#REF!</definedName>
    <definedName name="_xlnm._FilterDatabase" localSheetId="8" hidden="1">'관급(도급자)'!#REF!</definedName>
    <definedName name="_xlnm._FilterDatabase" localSheetId="6" hidden="1">내역서!#REF!</definedName>
    <definedName name="_xlnm._FilterDatabase" localSheetId="47" hidden="1">단가!#REF!</definedName>
    <definedName name="_xlnm._FilterDatabase" localSheetId="2" hidden="1">원가계산!#REF!</definedName>
    <definedName name="_xlnm._FilterDatabase" localSheetId="7" hidden="1">작업부산물!#REF!</definedName>
    <definedName name="_xlnm._FilterDatabase" localSheetId="4" hidden="1">집계표!#REF!</definedName>
    <definedName name="_xlnm._FilterDatabase" localSheetId="1" hidden="1">'표지(갑지)'!$A$1:$M$2</definedName>
    <definedName name="_xlnm._FilterDatabase" localSheetId="48" hidden="1">#REF!</definedName>
    <definedName name="_xlnm._FilterDatabase" localSheetId="32" hidden="1">#REF!</definedName>
    <definedName name="_xlnm._FilterDatabase" hidden="1">#REF!</definedName>
    <definedName name="_Key1" localSheetId="23" hidden="1">#REF!</definedName>
    <definedName name="_Key1" localSheetId="15" hidden="1">#REF!</definedName>
    <definedName name="_Key1" localSheetId="3" hidden="1">#REF!</definedName>
    <definedName name="_Key1" localSheetId="14" hidden="1">#REF!</definedName>
    <definedName name="_Key1" localSheetId="22" hidden="1">#REF!</definedName>
    <definedName name="_Key2" localSheetId="23" hidden="1">#REF!</definedName>
    <definedName name="_Key2" localSheetId="15" hidden="1">#REF!</definedName>
    <definedName name="_Key2" localSheetId="14" hidden="1">#REF!</definedName>
    <definedName name="_Key2" localSheetId="22" hidden="1">#REF!</definedName>
    <definedName name="_Order1" hidden="1">255</definedName>
    <definedName name="_Order2" hidden="1">255</definedName>
    <definedName name="_PB1" localSheetId="23">#REF!</definedName>
    <definedName name="_PB2" localSheetId="23">#REF!</definedName>
    <definedName name="_PB3" localSheetId="23">#REF!</definedName>
    <definedName name="_PP2" localSheetId="23">#REF!</definedName>
    <definedName name="_PP3" localSheetId="23">#REF!</definedName>
    <definedName name="_Regression_Int" hidden="1">1</definedName>
    <definedName name="_Sort" localSheetId="23" hidden="1">#REF!</definedName>
    <definedName name="_Sort" localSheetId="15" hidden="1">#REF!</definedName>
    <definedName name="_Sort" localSheetId="14" hidden="1">#REF!</definedName>
    <definedName name="_Sort" localSheetId="22" hidden="1">#REF!</definedName>
    <definedName name="\s" localSheetId="18">#N/A</definedName>
    <definedName name="\s" localSheetId="22">#N/A</definedName>
    <definedName name="A" description="DAE-DONG이(가) 98-03-19에 기록한 매크로" help="!0_x0000_" localSheetId="23" xlm="1" functionGroupId="14" shortcutKey="a">#REF!</definedName>
    <definedName name="A" localSheetId="22">#REF!</definedName>
    <definedName name="AA" localSheetId="22">#REF!</definedName>
    <definedName name="aaa" localSheetId="23">#REF!</definedName>
    <definedName name="aaaa" localSheetId="23">#REF!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JH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" localSheetId="23">#REF!</definedName>
    <definedName name="bbb" localSheetId="23">BlankMacro1</definedName>
    <definedName name="bbb" localSheetId="17">BlankMacro1</definedName>
    <definedName name="_xlnm.Criteria" localSheetId="23">#REF!</definedName>
    <definedName name="_xlnm.Criteria" localSheetId="45">#REF!</definedName>
    <definedName name="_xlnm.Criteria" localSheetId="31">#REF!</definedName>
    <definedName name="_xlnm.Criteria" localSheetId="38">#REF!</definedName>
    <definedName name="_xlnm.Criteria" localSheetId="18">#REF!</definedName>
    <definedName name="_xlnm.Criteria" localSheetId="22">#REF!</definedName>
    <definedName name="CS" localSheetId="23">BlankMacro1</definedName>
    <definedName name="CS" localSheetId="17">BlankMacro1</definedName>
    <definedName name="cvbnml" localSheetId="23">BlankMacro1</definedName>
    <definedName name="cvbnml" localSheetId="17">BlankMacro1</definedName>
    <definedName name="D" localSheetId="23">#REF!</definedName>
    <definedName name="D" localSheetId="45">#REF!</definedName>
    <definedName name="D" localSheetId="31">#REF!</definedName>
    <definedName name="D" localSheetId="38">#REF!</definedName>
    <definedName name="D" localSheetId="18">#REF!</definedName>
    <definedName name="D" localSheetId="22">#REF!</definedName>
    <definedName name="DANGA" localSheetId="23">#REF!,#REF!</definedName>
    <definedName name="DANGA" localSheetId="45">#REF!,#REF!</definedName>
    <definedName name="DANGA" localSheetId="31">#REF!,#REF!</definedName>
    <definedName name="DANGA" localSheetId="38">#REF!,#REF!</definedName>
    <definedName name="DANGA" localSheetId="18">#REF!,#REF!</definedName>
    <definedName name="dd" localSheetId="23">BlankMacro1</definedName>
    <definedName name="dd" localSheetId="45">BlankMacro1</definedName>
    <definedName name="dd" localSheetId="31">BlankMacro1</definedName>
    <definedName name="dd" localSheetId="38">BlankMacro1</definedName>
    <definedName name="dd" localSheetId="18">BlankMacro1</definedName>
    <definedName name="dd" localSheetId="22">BlankMacro1</definedName>
    <definedName name="dd" localSheetId="17">BlankMacro1</definedName>
    <definedName name="DDD" localSheetId="23">BlankMacro1</definedName>
    <definedName name="DDD" localSheetId="45">BlankMacro1</definedName>
    <definedName name="DDD" localSheetId="31">BlankMacro1</definedName>
    <definedName name="DDD" localSheetId="38">BlankMacro1</definedName>
    <definedName name="DDD" localSheetId="18">BlankMacro1</definedName>
    <definedName name="DDD" localSheetId="22">BlankMacro1</definedName>
    <definedName name="DDD" localSheetId="17">BlankMacro1</definedName>
    <definedName name="ddddd" localSheetId="23" hidden="1">#REF!</definedName>
    <definedName name="ddddd" localSheetId="33" hidden="1">#REF!</definedName>
    <definedName name="ddddd" localSheetId="15" hidden="1">#REF!</definedName>
    <definedName name="ddddd" localSheetId="7" hidden="1">#REF!</definedName>
    <definedName name="ddddd" localSheetId="14" hidden="1">#REF!</definedName>
    <definedName name="ddddd" localSheetId="48" hidden="1">#REF!</definedName>
    <definedName name="ddddd" localSheetId="32" hidden="1">#REF!</definedName>
    <definedName name="ddddd" hidden="1">#REF!</definedName>
    <definedName name="DDFR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23">BlankMacro1</definedName>
    <definedName name="DDS" localSheetId="45">BlankMacro1</definedName>
    <definedName name="DDS" localSheetId="31">BlankMacro1</definedName>
    <definedName name="DDS" localSheetId="38">BlankMacro1</definedName>
    <definedName name="DDS" localSheetId="18">BlankMacro1</definedName>
    <definedName name="DDS" localSheetId="22">BlankMacro1</definedName>
    <definedName name="DDS" localSheetId="17">BlankMacro1</definedName>
    <definedName name="DDW" localSheetId="23">BlankMacro1</definedName>
    <definedName name="DDW" localSheetId="45">BlankMacro1</definedName>
    <definedName name="DDW" localSheetId="31">BlankMacro1</definedName>
    <definedName name="DDW" localSheetId="38">BlankMacro1</definedName>
    <definedName name="DDW" localSheetId="18">BlankMacro1</definedName>
    <definedName name="DDW" localSheetId="22">BlankMacro1</definedName>
    <definedName name="DDW" localSheetId="17">BlankMacro1</definedName>
    <definedName name="DFDXC" localSheetId="22">#REF!</definedName>
    <definedName name="DFEE" localSheetId="33" hidden="1">#REF!</definedName>
    <definedName name="DFEE" localSheetId="7" hidden="1">#REF!</definedName>
    <definedName name="DFEE" localSheetId="48" hidden="1">#REF!</definedName>
    <definedName name="DFEE" localSheetId="32" hidden="1">#REF!</definedName>
    <definedName name="DFEE" hidden="1">#REF!</definedName>
    <definedName name="DFSW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d" localSheetId="23">BlankMacro1</definedName>
    <definedName name="dhd" localSheetId="17">BlankMacro1</definedName>
    <definedName name="DKD" localSheetId="23">BlankMacro1</definedName>
    <definedName name="DKD" localSheetId="45">BlankMacro1</definedName>
    <definedName name="DKD" localSheetId="31">BlankMacro1</definedName>
    <definedName name="DKD" localSheetId="38">BlankMacro1</definedName>
    <definedName name="DKD" localSheetId="18">BlankMacro1</definedName>
    <definedName name="DKD" localSheetId="22">BlankMacro1</definedName>
    <definedName name="DKD" localSheetId="17">BlankMacro1</definedName>
    <definedName name="DKE" localSheetId="23">BlankMacro1</definedName>
    <definedName name="DKE" localSheetId="45">BlankMacro1</definedName>
    <definedName name="DKE" localSheetId="31">BlankMacro1</definedName>
    <definedName name="DKE" localSheetId="38">BlankMacro1</definedName>
    <definedName name="DKE" localSheetId="18">BlankMacro1</definedName>
    <definedName name="DKE" localSheetId="22">BlankMacro1</definedName>
    <definedName name="DKE" localSheetId="17">BlankMacro1</definedName>
    <definedName name="DKGK" localSheetId="23">BlankMacro1</definedName>
    <definedName name="DKGK" localSheetId="17">BlankMacro1</definedName>
    <definedName name="DKSG" localSheetId="33" hidden="1">#REF!</definedName>
    <definedName name="DKSG" localSheetId="7" hidden="1">#REF!</definedName>
    <definedName name="DKSG" localSheetId="48" hidden="1">#REF!</definedName>
    <definedName name="DKSG" localSheetId="32" hidden="1">#REF!</definedName>
    <definedName name="DKSG" hidden="1">#REF!</definedName>
    <definedName name="DKSGMLWJD" localSheetId="33" hidden="1">#REF!</definedName>
    <definedName name="DKSGMLWJD" localSheetId="7" hidden="1">#REF!</definedName>
    <definedName name="DKSGMLWJD" localSheetId="48" hidden="1">#REF!</definedName>
    <definedName name="DKSGMLWJD" localSheetId="32" hidden="1">#REF!</definedName>
    <definedName name="DKSGMLWJD" hidden="1">#REF!</definedName>
    <definedName name="Dp" localSheetId="33" hidden="1">#REF!</definedName>
    <definedName name="Dp" localSheetId="7" hidden="1">#REF!</definedName>
    <definedName name="Dp" localSheetId="48" hidden="1">#REF!</definedName>
    <definedName name="Dp" localSheetId="32" hidden="1">#REF!</definedName>
    <definedName name="Dp" hidden="1">#REF!</definedName>
    <definedName name="DRIVE" localSheetId="23">#REF!</definedName>
    <definedName name="DS" localSheetId="23">BlankMacro1</definedName>
    <definedName name="DS" localSheetId="45">BlankMacro1</definedName>
    <definedName name="DS" localSheetId="31">BlankMacro1</definedName>
    <definedName name="DS" localSheetId="38">BlankMacro1</definedName>
    <definedName name="DS" localSheetId="18">BlankMacro1</definedName>
    <definedName name="DS" localSheetId="22">BlankMacro1</definedName>
    <definedName name="DS" localSheetId="17">BlankMacro1</definedName>
    <definedName name="dsgfggg" localSheetId="33" hidden="1">#REF!</definedName>
    <definedName name="dsgfggg" localSheetId="7" hidden="1">#REF!</definedName>
    <definedName name="dsgfggg" localSheetId="48" hidden="1">#REF!</definedName>
    <definedName name="dsgfggg" localSheetId="32" hidden="1">#REF!</definedName>
    <definedName name="dsgfggg" hidden="1">#REF!</definedName>
    <definedName name="DWS" localSheetId="23">BlankMacro1</definedName>
    <definedName name="DWS" localSheetId="45">BlankMacro1</definedName>
    <definedName name="DWS" localSheetId="31">BlankMacro1</definedName>
    <definedName name="DWS" localSheetId="38">BlankMacro1</definedName>
    <definedName name="DWS" localSheetId="18">BlankMacro1</definedName>
    <definedName name="DWS" localSheetId="22">BlankMacro1</definedName>
    <definedName name="DWS" localSheetId="17">BlankMacro1</definedName>
    <definedName name="E" localSheetId="23">BlankMacro1</definedName>
    <definedName name="E" localSheetId="45">BlankMacro1</definedName>
    <definedName name="E" localSheetId="31">BlankMacro1</definedName>
    <definedName name="E" localSheetId="38">BlankMacro1</definedName>
    <definedName name="E" localSheetId="18">BlankMacro1</definedName>
    <definedName name="E" localSheetId="22">#REF!</definedName>
    <definedName name="E" localSheetId="17">BlankMacro1</definedName>
    <definedName name="ED" localSheetId="33" hidden="1">#REF!</definedName>
    <definedName name="ED" localSheetId="7" hidden="1">#REF!</definedName>
    <definedName name="ED" localSheetId="48" hidden="1">#REF!</definedName>
    <definedName name="ED" localSheetId="32" hidden="1">#REF!</definedName>
    <definedName name="ED" hidden="1">#REF!</definedName>
    <definedName name="ee" localSheetId="23" hidden="1">{#N/A,#N/A,FALSE,"단가표지"}</definedName>
    <definedName name="ee" localSheetId="45" hidden="1">{#N/A,#N/A,FALSE,"단가표지"}</definedName>
    <definedName name="ee" localSheetId="31" hidden="1">{#N/A,#N/A,FALSE,"단가표지"}</definedName>
    <definedName name="ee" localSheetId="15" hidden="1">{#N/A,#N/A,FALSE,"단가표지"}</definedName>
    <definedName name="ee" localSheetId="3" hidden="1">{#N/A,#N/A,FALSE,"단가표지"}</definedName>
    <definedName name="ee" localSheetId="14" hidden="1">{#N/A,#N/A,FALSE,"단가표지"}</definedName>
    <definedName name="ee" localSheetId="17" hidden="1">{#N/A,#N/A,FALSE,"단가표지"}</definedName>
    <definedName name="ee" hidden="1">{#N/A,#N/A,FALSE,"단가표지"}</definedName>
    <definedName name="ELP" localSheetId="18">#REF!</definedName>
    <definedName name="ELP" localSheetId="22">#REF!</definedName>
    <definedName name="Emst10" localSheetId="23">#REF!</definedName>
    <definedName name="ENJ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XE" localSheetId="23">BlankMacro1</definedName>
    <definedName name="EXE" localSheetId="45">BlankMacro1</definedName>
    <definedName name="EXE" localSheetId="31">BlankMacro1</definedName>
    <definedName name="EXE" localSheetId="38">BlankMacro1</definedName>
    <definedName name="EXE" localSheetId="18">BlankMacro1</definedName>
    <definedName name="EXE" localSheetId="22">BlankMacro1</definedName>
    <definedName name="EXE" localSheetId="17">BlankMacro1</definedName>
    <definedName name="_xlnm.Extract" localSheetId="18">#REF!</definedName>
    <definedName name="_xlnm.Extract" localSheetId="22">#REF!</definedName>
    <definedName name="F" localSheetId="23">#REF!</definedName>
    <definedName name="FD" localSheetId="33" hidden="1">#REF!</definedName>
    <definedName name="FD" localSheetId="7" hidden="1">#REF!</definedName>
    <definedName name="FD" localSheetId="48" hidden="1">#REF!</definedName>
    <definedName name="FD" localSheetId="32" hidden="1">#REF!</definedName>
    <definedName name="FD" hidden="1">#REF!</definedName>
    <definedName name="fffffff" localSheetId="23">BlankMacro1</definedName>
    <definedName name="fffffff" localSheetId="17">BlankMacro1</definedName>
    <definedName name="fg" localSheetId="33" hidden="1">#REF!</definedName>
    <definedName name="fg" localSheetId="7" hidden="1">#REF!</definedName>
    <definedName name="fg" localSheetId="48" hidden="1">#REF!</definedName>
    <definedName name="fg" localSheetId="32" hidden="1">#REF!</definedName>
    <definedName name="fg" hidden="1">#REF!</definedName>
    <definedName name="FGFFG" localSheetId="23">#REF!</definedName>
    <definedName name="FGFGFG" localSheetId="18">#REF!</definedName>
    <definedName name="fsffdsfdsafds" localSheetId="23">BlankMacro1</definedName>
    <definedName name="fsffdsfdsafds" localSheetId="17">BlankMacro1</definedName>
    <definedName name="g" localSheetId="23">#REF!</definedName>
    <definedName name="GEMCO" localSheetId="23" hidden="1">#REF!</definedName>
    <definedName name="GEMCO" localSheetId="33" hidden="1">#REF!</definedName>
    <definedName name="GEMCO" localSheetId="15" hidden="1">#REF!</definedName>
    <definedName name="GEMCO" localSheetId="7" hidden="1">#REF!</definedName>
    <definedName name="GEMCO" localSheetId="14" hidden="1">#REF!</definedName>
    <definedName name="GEMCO" localSheetId="48" hidden="1">#REF!</definedName>
    <definedName name="GEMCO" localSheetId="32" hidden="1">#REF!</definedName>
    <definedName name="GEMCO" hidden="1">#REF!</definedName>
    <definedName name="gfaag" localSheetId="23">Dlog_Show</definedName>
    <definedName name="gfaag" localSheetId="31">Dlog_Show</definedName>
    <definedName name="gfaag" localSheetId="17">Dlog_Show</definedName>
    <definedName name="gfg" localSheetId="23">[0]!uiy</definedName>
    <definedName name="gfg" localSheetId="31">[0]!uiy</definedName>
    <definedName name="gfg" localSheetId="17">[0]!uiy</definedName>
    <definedName name="GFH" localSheetId="23">[0]!FFF</definedName>
    <definedName name="GFH" localSheetId="31">[0]!FFF</definedName>
    <definedName name="GFH" localSheetId="17">[0]!FFF</definedName>
    <definedName name="gg" localSheetId="23">BlankMacro1</definedName>
    <definedName name="gg" localSheetId="17">BlankMacro1</definedName>
    <definedName name="GGG" localSheetId="23">[0]!DGRT</definedName>
    <definedName name="GGG" localSheetId="31">[0]!DGRT</definedName>
    <definedName name="GGG" localSheetId="17">[0]!DGRT</definedName>
    <definedName name="gggg" localSheetId="23">#REF!</definedName>
    <definedName name="GGGTR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23">'가로등 (2)'!jhg</definedName>
    <definedName name="ggh" localSheetId="31">'고재산출(STS)'!jhg</definedName>
    <definedName name="ggh" localSheetId="17">'표지4-'!jhg</definedName>
    <definedName name="GGTRE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 localSheetId="23">'가로등 (2)'!GHG</definedName>
    <definedName name="GHG" localSheetId="31">'고재산출(STS)'!GHG</definedName>
    <definedName name="GHG" localSheetId="17">'표지4-'!GHG</definedName>
    <definedName name="ghgfh" localSheetId="23">'가로등 (2)'!ghgfh</definedName>
    <definedName name="ghgfh" localSheetId="31">'고재산출(STS)'!ghgfh</definedName>
    <definedName name="ghgfh" localSheetId="17">'표지4-'!ghgfh</definedName>
    <definedName name="GHHJHJ" localSheetId="23">BlankMacro1</definedName>
    <definedName name="GHHJHJ" localSheetId="17">BlankMacro1</definedName>
    <definedName name="GMLWD" localSheetId="33" hidden="1">#REF!</definedName>
    <definedName name="GMLWD" localSheetId="7" hidden="1">#REF!</definedName>
    <definedName name="GMLWD" localSheetId="48" hidden="1">#REF!</definedName>
    <definedName name="GMLWD" localSheetId="32" hidden="1">#REF!</definedName>
    <definedName name="GMLWD" hidden="1">#REF!</definedName>
    <definedName name="GREE" localSheetId="23">[0]!vnb</definedName>
    <definedName name="GREE" localSheetId="31">[0]!vnb</definedName>
    <definedName name="GREE" localSheetId="17">[0]!vnb</definedName>
    <definedName name="GRT" localSheetId="33" hidden="1">#REF!</definedName>
    <definedName name="GRT" localSheetId="7" hidden="1">#REF!</definedName>
    <definedName name="GRT" localSheetId="48" hidden="1">#REF!</definedName>
    <definedName name="GRT" localSheetId="32" hidden="1">#REF!</definedName>
    <definedName name="GRT" hidden="1">#REF!</definedName>
    <definedName name="GVHBG" localSheetId="23">'가로등 (2)'!GVHBG</definedName>
    <definedName name="GVHBG" localSheetId="31">'고재산출(STS)'!GVHBG</definedName>
    <definedName name="GVHBG" localSheetId="17">'표지4-'!GVHBG</definedName>
    <definedName name="gvv" localSheetId="23">[0]!ㅁㄴㄹㅇㄹ</definedName>
    <definedName name="gvv" localSheetId="31">[0]!ㅁㄴㄹㅇㄹ</definedName>
    <definedName name="gvv" localSheetId="17">[0]!ㅁㄴㄹㅇㄹ</definedName>
    <definedName name="GYTR" localSheetId="23">'가로등 (2)'!GYTR</definedName>
    <definedName name="GYTR" localSheetId="31">'고재산출(STS)'!GYTR</definedName>
    <definedName name="GYTR" localSheetId="17">'표지4-'!GYTR</definedName>
    <definedName name="H" localSheetId="23">#REF!</definedName>
    <definedName name="han" localSheetId="33" hidden="1">#REF!</definedName>
    <definedName name="han" localSheetId="7" hidden="1">#REF!</definedName>
    <definedName name="han" localSheetId="48" hidden="1">#REF!</definedName>
    <definedName name="han" localSheetId="32" hidden="1">#REF!</definedName>
    <definedName name="han" hidden="1">#REF!</definedName>
    <definedName name="HBHG" localSheetId="23">'가로등 (2)'!HBHG</definedName>
    <definedName name="HBHG" localSheetId="31">'고재산출(STS)'!HBHG</definedName>
    <definedName name="HBHG" localSheetId="17">'표지4-'!HBHG</definedName>
    <definedName name="HCY" localSheetId="23">[0]!CDD</definedName>
    <definedName name="HCY" localSheetId="31">[0]!CDD</definedName>
    <definedName name="HCY" localSheetId="17">[0]!CDD</definedName>
    <definedName name="HGG" localSheetId="23">'가로등 (2)'!HGG</definedName>
    <definedName name="HGG" localSheetId="31">'고재산출(STS)'!HGG</definedName>
    <definedName name="HGG" localSheetId="17">'표지4-'!HGG</definedName>
    <definedName name="hgju" localSheetId="23">BlankMacro1</definedName>
    <definedName name="hgju" localSheetId="17">BlankMacro1</definedName>
    <definedName name="HH" localSheetId="33" hidden="1">#REF!</definedName>
    <definedName name="HH" localSheetId="7" hidden="1">#REF!</definedName>
    <definedName name="HH" localSheetId="48" hidden="1">#REF!</definedName>
    <definedName name="HH" localSheetId="32" hidden="1">#REF!</definedName>
    <definedName name="HH" hidden="1">#REF!</definedName>
    <definedName name="HHG" localSheetId="23">[0]!NNC</definedName>
    <definedName name="HHG" localSheetId="31">[0]!NNC</definedName>
    <definedName name="HHG" localSheetId="17">[0]!NNC</definedName>
    <definedName name="HHH" localSheetId="3" hidden="1">#REF!</definedName>
    <definedName name="hhhh" localSheetId="23">BlankMacro1</definedName>
    <definedName name="hhhh" localSheetId="17">BlankMacro1</definedName>
    <definedName name="HHK" localSheetId="23">'가로등 (2)'!HHK</definedName>
    <definedName name="HHK" localSheetId="31">'고재산출(STS)'!HHK</definedName>
    <definedName name="HHK" localSheetId="17">'표지4-'!HHK</definedName>
    <definedName name="HJ" localSheetId="3" hidden="1">#REF!</definedName>
    <definedName name="HJHJH" localSheetId="22">#REF!</definedName>
    <definedName name="HJHJHJHJ" localSheetId="18">#REF!</definedName>
    <definedName name="hjk" localSheetId="23">'가로등 (2)'!hjk</definedName>
    <definedName name="hjk" localSheetId="31">'고재산출(STS)'!hjk</definedName>
    <definedName name="hjk" localSheetId="17">'표지4-'!hjk</definedName>
    <definedName name="HTD" localSheetId="23">'가로등 (2)'!HTD</definedName>
    <definedName name="HTD" localSheetId="31">'고재산출(STS)'!HTD</definedName>
    <definedName name="HTD" localSheetId="17">'표지4-'!HTD</definedName>
    <definedName name="HTML_CodePage" hidden="1">949</definedName>
    <definedName name="HTML_Control" localSheetId="23" hidden="1">{"'단계별시설공사비'!$A$3:$K$51"}</definedName>
    <definedName name="HTML_Control" localSheetId="45" hidden="1">{"'단계별시설공사비'!$A$3:$K$51"}</definedName>
    <definedName name="HTML_Control" localSheetId="31" hidden="1">{"'단계별시설공사비'!$A$3:$K$51"}</definedName>
    <definedName name="HTML_Control" localSheetId="15" hidden="1">{"'단계별시설공사비'!$A$3:$K$51"}</definedName>
    <definedName name="HTML_Control" localSheetId="3" hidden="1">{"'단계별시설공사비'!$A$3:$K$51"}</definedName>
    <definedName name="HTML_Control" localSheetId="14" hidden="1">{"'단계별시설공사비'!$A$3:$K$51"}</definedName>
    <definedName name="HTML_Control" localSheetId="17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 localSheetId="23">[0]!ytjuy</definedName>
    <definedName name="hyh" localSheetId="31">[0]!ytjuy</definedName>
    <definedName name="hyh" localSheetId="17">[0]!ytjuy</definedName>
    <definedName name="ID" localSheetId="23">#REF!,#REF!</definedName>
    <definedName name="ID" localSheetId="45">#REF!,#REF!</definedName>
    <definedName name="ID" localSheetId="31">#REF!,#REF!</definedName>
    <definedName name="ID" localSheetId="38">#REF!,#REF!</definedName>
    <definedName name="ID" localSheetId="18">#REF!,#REF!</definedName>
    <definedName name="ii" localSheetId="23">BlankMacro1</definedName>
    <definedName name="ii" localSheetId="17">BlankMacro1</definedName>
    <definedName name="IIJELLS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23">'가로등 (2)'!ghgfh</definedName>
    <definedName name="iik" localSheetId="31">'고재산출(STS)'!ghgfh</definedName>
    <definedName name="iik" localSheetId="17">'표지4-'!ghgfh</definedName>
    <definedName name="ILJIB_MOTO_PYO" localSheetId="23">#REF!</definedName>
    <definedName name="jcs" localSheetId="23">BlankMacro1</definedName>
    <definedName name="jcs" localSheetId="17">BlankMacro1</definedName>
    <definedName name="jhg" localSheetId="23">'가로등 (2)'!jhg</definedName>
    <definedName name="jhg" localSheetId="31">'고재산출(STS)'!jhg</definedName>
    <definedName name="jhg" localSheetId="17">'표지4-'!jhg</definedName>
    <definedName name="JJFOR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23">#REF!</definedName>
    <definedName name="JJJ" localSheetId="3" hidden="1">#REF!</definedName>
    <definedName name="JJJJ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 localSheetId="23">[0]!호서</definedName>
    <definedName name="JJM" localSheetId="31">[0]!호서</definedName>
    <definedName name="JJM" localSheetId="17">[0]!호서</definedName>
    <definedName name="JJSUW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PG" localSheetId="23">'가로등 (2)'!JPG</definedName>
    <definedName name="JPG" localSheetId="31">'고재산출(STS)'!JPG</definedName>
    <definedName name="JPG" localSheetId="17">'표지4-'!JPG</definedName>
    <definedName name="JSH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U" localSheetId="23">[0]!FGF</definedName>
    <definedName name="JUU" localSheetId="31">[0]!FGF</definedName>
    <definedName name="JUU" localSheetId="17">[0]!FGF</definedName>
    <definedName name="JUYGDF" localSheetId="23">[0]!SSX</definedName>
    <definedName name="JUYGDF" localSheetId="31">[0]!SSX</definedName>
    <definedName name="JUYGDF" localSheetId="17">[0]!SSX</definedName>
    <definedName name="juyjuy" localSheetId="23">'가로등 (2)'!juyjuy</definedName>
    <definedName name="juyjuy" localSheetId="31">'고재산출(STS)'!juyjuy</definedName>
    <definedName name="juyjuy" localSheetId="17">'표지4-'!juyjuy</definedName>
    <definedName name="jyt" localSheetId="23">'가로등 (2)'!jyt</definedName>
    <definedName name="jyt" localSheetId="31">'고재산출(STS)'!jyt</definedName>
    <definedName name="jyt" localSheetId="17">'표지4-'!jyt</definedName>
    <definedName name="jytr" localSheetId="23">'가로등 (2)'!jytr</definedName>
    <definedName name="jytr" localSheetId="31">'고재산출(STS)'!jytr</definedName>
    <definedName name="jytr" localSheetId="17">'표지4-'!jytr</definedName>
    <definedName name="jyu" localSheetId="23">'가로등 (2)'!jhg</definedName>
    <definedName name="jyu" localSheetId="31">'고재산출(STS)'!jhg</definedName>
    <definedName name="jyu" localSheetId="17">'표지4-'!jhg</definedName>
    <definedName name="jyuj" localSheetId="23">[0]!yth</definedName>
    <definedName name="jyuj" localSheetId="31">[0]!yth</definedName>
    <definedName name="jyuj" localSheetId="17">[0]!yth</definedName>
    <definedName name="KGB" localSheetId="23">[0]!uiy</definedName>
    <definedName name="KGB" localSheetId="31">[0]!uiy</definedName>
    <definedName name="KGB" localSheetId="17">[0]!uiy</definedName>
    <definedName name="kiuk" localSheetId="23">'가로등 (2)'!jhg</definedName>
    <definedName name="kiuk" localSheetId="31">'고재산출(STS)'!jhg</definedName>
    <definedName name="kiuk" localSheetId="17">'표지4-'!jhg</definedName>
    <definedName name="KJH" localSheetId="23">'가로등 (2)'!KJH</definedName>
    <definedName name="KJH" localSheetId="31">'고재산출(STS)'!KJH</definedName>
    <definedName name="KJH" localSheetId="17">'표지4-'!KJH</definedName>
    <definedName name="kjuj" localSheetId="23">[0]!tyj</definedName>
    <definedName name="kjuj" localSheetId="31">[0]!tyj</definedName>
    <definedName name="kjuj" localSheetId="17">[0]!tyj</definedName>
    <definedName name="KK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23">[0]!SSR</definedName>
    <definedName name="KKB" localSheetId="31">[0]!SSR</definedName>
    <definedName name="KKB" localSheetId="17">[0]!SSR</definedName>
    <definedName name="KKDA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kk" localSheetId="23">BlankMacro1</definedName>
    <definedName name="kkkkkkk" localSheetId="17">BlankMacro1</definedName>
    <definedName name="KKKS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23">[0]!tyj</definedName>
    <definedName name="kkl" localSheetId="31">[0]!tyj</definedName>
    <definedName name="kkl" localSheetId="17">[0]!tyj</definedName>
    <definedName name="KKSIIE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 localSheetId="23">#REF!</definedName>
    <definedName name="L" localSheetId="22">#REF!</definedName>
    <definedName name="LAK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 localSheetId="23">#REF!</definedName>
    <definedName name="LAST" localSheetId="45">#REF!</definedName>
    <definedName name="LAST" localSheetId="31">#REF!</definedName>
    <definedName name="LAST" localSheetId="38">#REF!</definedName>
    <definedName name="LAST" localSheetId="18">#REF!</definedName>
    <definedName name="LAST" localSheetId="22">#REF!</definedName>
    <definedName name="LLDIEK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3">#REF!</definedName>
    <definedName name="LLLL" localSheetId="23">BlankMacro1</definedName>
    <definedName name="LLLL" localSheetId="45">BlankMacro1</definedName>
    <definedName name="LLLL" localSheetId="31">BlankMacro1</definedName>
    <definedName name="LLLL" localSheetId="38">BlankMacro1</definedName>
    <definedName name="LLLL" localSheetId="18">BlankMacro1</definedName>
    <definedName name="LLLL" localSheetId="22">BlankMacro1</definedName>
    <definedName name="LLLL" localSheetId="17">BlankMacro1</definedName>
    <definedName name="llllll" localSheetId="23">BlankMacro1</definedName>
    <definedName name="llllll" localSheetId="17">BlankMacro1</definedName>
    <definedName name="LLL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23">[0]!CCF</definedName>
    <definedName name="LLM" localSheetId="31">[0]!CCF</definedName>
    <definedName name="LLM" localSheetId="17">[0]!CCF</definedName>
    <definedName name="LLSIEKD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localSheetId="23">#REF!</definedName>
    <definedName name="M" localSheetId="22">#REF!</definedName>
    <definedName name="M1.더하기" localSheetId="23">'가로등 (2)'!M1.더하기</definedName>
    <definedName name="M1.더하기" localSheetId="31">'고재산출(STS)'!M1.더하기</definedName>
    <definedName name="M1.더하기" localSheetId="17">'표지4-'!M1.더하기</definedName>
    <definedName name="M1.빼기" localSheetId="23">'가로등 (2)'!M1.빼기</definedName>
    <definedName name="M1.빼기" localSheetId="31">'고재산출(STS)'!M1.빼기</definedName>
    <definedName name="M1.빼기" localSheetId="17">'표지4-'!M1.빼기</definedName>
    <definedName name="Macro2" localSheetId="23">'가로등 (2)'!Macro2</definedName>
    <definedName name="Macro2" localSheetId="22">터파기!Macro2</definedName>
    <definedName name="Macro5" localSheetId="23">'가로등 (2)'!Macro5</definedName>
    <definedName name="Macro5" localSheetId="22">터파기!Macro5</definedName>
    <definedName name="MATO" localSheetId="23">#REF!</definedName>
    <definedName name="MMM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NMN" localSheetId="18">#REF!</definedName>
    <definedName name="MONEY" localSheetId="23">#REF!,#REF!</definedName>
    <definedName name="MONEY" localSheetId="45">#REF!,#REF!</definedName>
    <definedName name="MONEY" localSheetId="31">#REF!,#REF!</definedName>
    <definedName name="MONEY" localSheetId="38">#REF!,#REF!</definedName>
    <definedName name="MONEY" localSheetId="18">#REF!,#REF!</definedName>
    <definedName name="monitor" localSheetId="23">#REF!</definedName>
    <definedName name="monitor" localSheetId="45">#REF!</definedName>
    <definedName name="monitor" localSheetId="31">#REF!</definedName>
    <definedName name="monitor" localSheetId="38">#REF!</definedName>
    <definedName name="monitor" localSheetId="18">#REF!</definedName>
    <definedName name="monitor" localSheetId="22">#REF!</definedName>
    <definedName name="NFB" localSheetId="23">#REF!</definedName>
    <definedName name="NO." localSheetId="23">#REF!</definedName>
    <definedName name="NO." localSheetId="45">#REF!</definedName>
    <definedName name="NO." localSheetId="31">#REF!</definedName>
    <definedName name="NO." localSheetId="38">#REF!</definedName>
    <definedName name="NO." localSheetId="18">#REF!</definedName>
    <definedName name="NO." localSheetId="22">#REF!</definedName>
    <definedName name="Number" localSheetId="23">#REF!</definedName>
    <definedName name="NUMBER" localSheetId="45">#REF!</definedName>
    <definedName name="NUMBER" localSheetId="31">#REF!</definedName>
    <definedName name="NUMBER" localSheetId="38">#REF!</definedName>
    <definedName name="NUMBER" localSheetId="18">#REF!</definedName>
    <definedName name="Number" localSheetId="22">#REF!</definedName>
    <definedName name="OOO" localSheetId="23">#REF!</definedName>
    <definedName name="ooo" localSheetId="33" hidden="1">#REF!</definedName>
    <definedName name="ooo" localSheetId="7" hidden="1">#REF!</definedName>
    <definedName name="OOO" localSheetId="22">#REF!</definedName>
    <definedName name="ooo" localSheetId="0" hidden="1">#REF!</definedName>
    <definedName name="ooo" localSheetId="9" hidden="1">#REF!</definedName>
    <definedName name="ooo" localSheetId="19" hidden="1">#REF!</definedName>
    <definedName name="ooo" localSheetId="21" hidden="1">#REF!</definedName>
    <definedName name="ooo" localSheetId="17" hidden="1">#REF!</definedName>
    <definedName name="ooo" localSheetId="46" hidden="1">#REF!</definedName>
    <definedName name="ooo" localSheetId="48" hidden="1">#REF!</definedName>
    <definedName name="ooo" localSheetId="32" hidden="1">#REF!</definedName>
    <definedName name="ooo" hidden="1">#REF!</definedName>
    <definedName name="ooooooo" localSheetId="23">BlankMacro1</definedName>
    <definedName name="ooooooo" localSheetId="17">BlankMacro1</definedName>
    <definedName name="OP" localSheetId="33" hidden="1">#REF!</definedName>
    <definedName name="OP" localSheetId="7" hidden="1">#REF!</definedName>
    <definedName name="OP" localSheetId="48" hidden="1">#REF!</definedName>
    <definedName name="OP" localSheetId="32" hidden="1">#REF!</definedName>
    <definedName name="OP" hidden="1">#REF!</definedName>
    <definedName name="P_NAE" localSheetId="23">#REF!</definedName>
    <definedName name="P01_" localSheetId="23">#REF!</definedName>
    <definedName name="P02_" localSheetId="23">#REF!</definedName>
    <definedName name="PE" localSheetId="18">#REF!</definedName>
    <definedName name="PE" localSheetId="22">#REF!</definedName>
    <definedName name="PH" localSheetId="18">#REF!</definedName>
    <definedName name="PH" localSheetId="22">#REF!</definedName>
    <definedName name="poi" localSheetId="23">BlankMacro1</definedName>
    <definedName name="poi" localSheetId="17">BlankMacro1</definedName>
    <definedName name="_xlnm.Print_Area" localSheetId="27">'1.인입'!$A$1:$W$29</definedName>
    <definedName name="_xlnm.Print_Area" localSheetId="28">'1.인입(산)'!$A$1:$L$25</definedName>
    <definedName name="_xlnm.Print_Area" localSheetId="43">'10.가설'!$A$1:$U$49</definedName>
    <definedName name="_xlnm.Print_Area" localSheetId="44">'10.가설(산)'!$A$1:$L$34</definedName>
    <definedName name="_xlnm.Print_Area" localSheetId="41">'11.피뢰'!$A$1:$U$26</definedName>
    <definedName name="_xlnm.Print_Area" localSheetId="42">'11.피뢰(산)'!$A$1:$L$26</definedName>
    <definedName name="_xlnm.Print_Area" localSheetId="24">'1-3.본관소화기(산)'!$A$1:$L$17</definedName>
    <definedName name="_xlnm.Print_Area" localSheetId="25">'1-4.동력'!$A$1:$W$28</definedName>
    <definedName name="_xlnm.Print_Area" localSheetId="26">'1-4.동력(산)'!$A$1:$L$59</definedName>
    <definedName name="_xlnm.Print_Area" localSheetId="36">'2.간선'!$A$1:$U$26</definedName>
    <definedName name="_xlnm.Print_Area" localSheetId="37">'2.간선(산)'!$A$1:$L$26</definedName>
    <definedName name="_xlnm.Print_Area" localSheetId="29">'2.외등'!$A$1:$W$27</definedName>
    <definedName name="_xlnm.Print_Area" localSheetId="30">'2.외등(산)'!$A$1:$L$25</definedName>
    <definedName name="_xlnm.Print_Area" localSheetId="34">'3.동력'!$A$1:$U$49</definedName>
    <definedName name="_xlnm.Print_Area" localSheetId="35">'3.동력(산)'!$A$1:$L$72</definedName>
    <definedName name="_xlnm.Print_Area" localSheetId="20">'3.사회과학관(산)'!$A$1:$L$71</definedName>
    <definedName name="_xlnm.Print_Area" localSheetId="39">'9.태양광'!$A$1:$U$26</definedName>
    <definedName name="_xlnm.Print_Area" localSheetId="40">'9.태양광(산)'!$A$1:$L$26</definedName>
    <definedName name="_xlnm.Print_Area" localSheetId="23">'가로등 (2)'!$A$1:$N$44</definedName>
    <definedName name="_xlnm.Print_Area" localSheetId="33">고재!$A$1:$L$26</definedName>
    <definedName name="_xlnm.Print_Area" localSheetId="31">'고재산출(STS)'!$A$1:$I$15</definedName>
    <definedName name="_xlnm.Print_Area" localSheetId="38">'고재산출(고철)'!$A$1:$I$33</definedName>
    <definedName name="_xlnm.Print_Area" localSheetId="8">'관급(도급자)'!$B$1:$M$71</definedName>
    <definedName name="_xlnm.Print_Area" localSheetId="16">기계경비!$A$1:$AD$167</definedName>
    <definedName name="_xlnm.Print_Area" localSheetId="6">내역서!$A$1:$L$73</definedName>
    <definedName name="_xlnm.Print_Area" localSheetId="47">단가!$A$1:$O$537</definedName>
    <definedName name="_xlnm.Print_Area" localSheetId="3">수수료!$A$1:$J$22</definedName>
    <definedName name="_xlnm.Print_Area" localSheetId="2">원가계산!$A$1:$G$31</definedName>
    <definedName name="_xlnm.Print_Area" localSheetId="18">일위산근!$A$1:$R$22</definedName>
    <definedName name="_xlnm.Print_Area" localSheetId="11">일위집계!$A$1:$M$22</definedName>
    <definedName name="_xlnm.Print_Area" localSheetId="7">작업부산물!$A$1:$L$50</definedName>
    <definedName name="_xlnm.Print_Area" localSheetId="12">전기일위!$A$1:$M$64</definedName>
    <definedName name="_xlnm.Print_Area" localSheetId="14">중기사용료!$A$1:$K$257</definedName>
    <definedName name="_xlnm.Print_Area" localSheetId="13">'중기사용료--'!$A$1:$K$44</definedName>
    <definedName name="_xlnm.Print_Area" localSheetId="4">집계표!$A$1:$L$26</definedName>
    <definedName name="_xlnm.Print_Area" localSheetId="22">터파기!$A$1:$V$47</definedName>
    <definedName name="_xlnm.Print_Area" localSheetId="49">폐기물처리!$A$1:$M$20</definedName>
    <definedName name="_xlnm.Print_Area" localSheetId="21">#REF!</definedName>
    <definedName name="_xlnm.Print_Area" localSheetId="17">#REF!</definedName>
    <definedName name="PRINT_AREA_MI1" localSheetId="23">#REF!</definedName>
    <definedName name="PRINT_TITEL" localSheetId="23">#REF!</definedName>
    <definedName name="PRINT_TITEL" localSheetId="45">#REF!</definedName>
    <definedName name="PRINT_TITEL" localSheetId="31">#REF!</definedName>
    <definedName name="PRINT_TITEL" localSheetId="38">#REF!</definedName>
    <definedName name="PRINT_TITEL" localSheetId="18">#REF!</definedName>
    <definedName name="PRINT_TITEL" localSheetId="22">#REF!</definedName>
    <definedName name="print_Titels" localSheetId="23">#REF!</definedName>
    <definedName name="print_titil" localSheetId="23">#REF!</definedName>
    <definedName name="print_titil" localSheetId="45">#REF!</definedName>
    <definedName name="print_titil" localSheetId="31">#REF!</definedName>
    <definedName name="print_titil" localSheetId="38">#REF!</definedName>
    <definedName name="print_titil" localSheetId="18">#REF!</definedName>
    <definedName name="print_titil" localSheetId="22">#REF!</definedName>
    <definedName name="PRINT_TITLE" localSheetId="23">#REF!</definedName>
    <definedName name="PRINT_TITLE" localSheetId="45">#REF!</definedName>
    <definedName name="PRINT_TITLE" localSheetId="31">#REF!</definedName>
    <definedName name="PRINT_TITLE" localSheetId="38">#REF!</definedName>
    <definedName name="PRINT_TITLE" localSheetId="18">#REF!</definedName>
    <definedName name="PRINT_TITLE" localSheetId="22">#REF!</definedName>
    <definedName name="_xlnm.Print_Titles" localSheetId="27">'1.인입'!$1:$3</definedName>
    <definedName name="_xlnm.Print_Titles" localSheetId="28">'1.인입(산)'!$1:$2</definedName>
    <definedName name="_xlnm.Print_Titles" localSheetId="43">'10.가설'!$1:$3</definedName>
    <definedName name="_xlnm.Print_Titles" localSheetId="44">'10.가설(산)'!$1:$2</definedName>
    <definedName name="_xlnm.Print_Titles" localSheetId="41">'11.피뢰'!$1:$3</definedName>
    <definedName name="_xlnm.Print_Titles" localSheetId="42">'11.피뢰(산)'!$1:$2</definedName>
    <definedName name="_xlnm.Print_Titles" localSheetId="24">'1-3.본관소화기(산)'!$1:$2</definedName>
    <definedName name="_xlnm.Print_Titles" localSheetId="25">'1-4.동력'!$1:$3</definedName>
    <definedName name="_xlnm.Print_Titles" localSheetId="26">'1-4.동력(산)'!$1:$2</definedName>
    <definedName name="_xlnm.Print_Titles" localSheetId="36">'2.간선'!$1:$3</definedName>
    <definedName name="_xlnm.Print_Titles" localSheetId="37">'2.간선(산)'!$1:$2</definedName>
    <definedName name="_xlnm.Print_Titles" localSheetId="29">'2.외등'!$1:$3</definedName>
    <definedName name="_xlnm.Print_Titles" localSheetId="30">'2.외등(산)'!$1:$2</definedName>
    <definedName name="_xlnm.Print_Titles" localSheetId="34">'3.동력'!$1:$3</definedName>
    <definedName name="_xlnm.Print_Titles" localSheetId="35">'3.동력(산)'!$1:$2</definedName>
    <definedName name="_xlnm.Print_Titles" localSheetId="20">'3.사회과학관(산)'!$1:$2</definedName>
    <definedName name="_xlnm.Print_Titles" localSheetId="39">'9.태양광'!$1:$3</definedName>
    <definedName name="_xlnm.Print_Titles" localSheetId="40">'9.태양광(산)'!$1:$2</definedName>
    <definedName name="_xlnm.Print_Titles" localSheetId="23">#REF!</definedName>
    <definedName name="_xlnm.Print_Titles" localSheetId="33">고재!$1:$2</definedName>
    <definedName name="_xlnm.Print_Titles" localSheetId="45">고재산출!$1:$1</definedName>
    <definedName name="_xlnm.Print_Titles" localSheetId="31">'고재산출(STS)'!$1:$1</definedName>
    <definedName name="_xlnm.Print_Titles" localSheetId="38">'고재산출(고철)'!$1:$1</definedName>
    <definedName name="_xlnm.Print_Titles" localSheetId="8">'관급(도급자)'!$1:$2</definedName>
    <definedName name="_xlnm.Print_Titles" localSheetId="6">내역서!$1:$2</definedName>
    <definedName name="_xlnm.Print_Titles" localSheetId="47">단가!$1:$2</definedName>
    <definedName name="_xlnm.Print_Titles" localSheetId="3">수수료!$2:$2</definedName>
    <definedName name="_xlnm.Print_Titles" localSheetId="18">일위산근!$1:$2</definedName>
    <definedName name="_xlnm.Print_Titles" localSheetId="11">일위집계!$1:$3</definedName>
    <definedName name="_xlnm.Print_Titles" localSheetId="7">작업부산물!$1:$2</definedName>
    <definedName name="_xlnm.Print_Titles" localSheetId="12">전기일위!$1:$3</definedName>
    <definedName name="_xlnm.Print_Titles" localSheetId="4">집계표!$1:$2</definedName>
    <definedName name="_xlnm.Print_Titles" localSheetId="22">#REF!</definedName>
    <definedName name="_xlnm.Print_Titles" localSheetId="49">폐기물처리!$1:$2</definedName>
    <definedName name="PRINTTITLES" localSheetId="23">#REF!</definedName>
    <definedName name="PRINTTITLES" localSheetId="45">#REF!</definedName>
    <definedName name="PRINTTITLES" localSheetId="31">#REF!</definedName>
    <definedName name="PRINTTITLES" localSheetId="38">#REF!</definedName>
    <definedName name="PRINTTITLES" localSheetId="18">#REF!</definedName>
    <definedName name="PRINTTITLES" localSheetId="22">#REF!</definedName>
    <definedName name="PRTNAME" localSheetId="23">#REF!</definedName>
    <definedName name="Q" localSheetId="23">BlankMacro1</definedName>
    <definedName name="Q" localSheetId="45">BlankMacro1</definedName>
    <definedName name="Q" localSheetId="31">BlankMacro1</definedName>
    <definedName name="Q" localSheetId="38">BlankMacro1</definedName>
    <definedName name="Q" localSheetId="18">BlankMacro1</definedName>
    <definedName name="Q" localSheetId="22">BlankMacro1</definedName>
    <definedName name="Q" localSheetId="17">BlankMacro1</definedName>
    <definedName name="QA" localSheetId="33" hidden="1">#REF!</definedName>
    <definedName name="QA" localSheetId="7" hidden="1">#REF!</definedName>
    <definedName name="QA" localSheetId="48" hidden="1">#REF!</definedName>
    <definedName name="QA" localSheetId="32" hidden="1">#REF!</definedName>
    <definedName name="QA" hidden="1">#REF!</definedName>
    <definedName name="qas" localSheetId="23">[0]!ㅁㄴㄹㅇㄹ</definedName>
    <definedName name="qas" localSheetId="31">[0]!ㅁㄴㄹㅇㄹ</definedName>
    <definedName name="qas" localSheetId="17">[0]!ㅁㄴㄹㅇㄹ</definedName>
    <definedName name="qdr" localSheetId="23">[0]!REEG</definedName>
    <definedName name="qdr" localSheetId="31">[0]!REEG</definedName>
    <definedName name="qdr" localSheetId="17">[0]!REEG</definedName>
    <definedName name="QE" localSheetId="23">BlankMacro1</definedName>
    <definedName name="QE" localSheetId="17">BlankMacro1</definedName>
    <definedName name="QLQL" localSheetId="18">#REF!</definedName>
    <definedName name="QLQL" localSheetId="22">#REF!</definedName>
    <definedName name="QQA" localSheetId="23">'가로등 (2)'!QQA</definedName>
    <definedName name="QQA" localSheetId="31">'고재산출(STS)'!QQA</definedName>
    <definedName name="QQA" localSheetId="17">'표지4-'!QQA</definedName>
    <definedName name="QQQ" localSheetId="23">[0]!CVDSD</definedName>
    <definedName name="QQQ" localSheetId="31">[0]!CVDSD</definedName>
    <definedName name="QQQ" localSheetId="17">[0]!CVDSD</definedName>
    <definedName name="qqqq" localSheetId="23">Dlog_Show</definedName>
    <definedName name="qqqq" localSheetId="31">Dlog_Show</definedName>
    <definedName name="qqqq" localSheetId="17">Dlog_Show</definedName>
    <definedName name="QR" localSheetId="23">BlankMacro1</definedName>
    <definedName name="QR" localSheetId="17">BlankMacro1</definedName>
    <definedName name="qw" localSheetId="23" hidden="1">{#N/A,#N/A,FALSE,"단가표지"}</definedName>
    <definedName name="qw" localSheetId="45" hidden="1">{#N/A,#N/A,FALSE,"단가표지"}</definedName>
    <definedName name="qw" localSheetId="31" hidden="1">{#N/A,#N/A,FALSE,"단가표지"}</definedName>
    <definedName name="qw" localSheetId="15" hidden="1">{#N/A,#N/A,FALSE,"단가표지"}</definedName>
    <definedName name="qw" localSheetId="3" hidden="1">{#N/A,#N/A,FALSE,"단가표지"}</definedName>
    <definedName name="qw" localSheetId="14" hidden="1">{#N/A,#N/A,FALSE,"단가표지"}</definedName>
    <definedName name="qw" localSheetId="17" hidden="1">{#N/A,#N/A,FALSE,"단가표지"}</definedName>
    <definedName name="qw" hidden="1">{#N/A,#N/A,FALSE,"단가표지"}</definedName>
    <definedName name="QWE" localSheetId="23">BlankMacro1</definedName>
    <definedName name="QWE" localSheetId="17">BlankMacro1</definedName>
    <definedName name="RGY" localSheetId="23">BlankMacro1</definedName>
    <definedName name="RGY" localSheetId="17">BlankMacro1</definedName>
    <definedName name="rtr" localSheetId="23">BlankMacro1</definedName>
    <definedName name="rtr" localSheetId="17">BlankMacro1</definedName>
    <definedName name="rty" localSheetId="23">BlankMacro1</definedName>
    <definedName name="rty" localSheetId="17">BlankMacro1</definedName>
    <definedName name="RTYUI" localSheetId="23">BlankMacro1</definedName>
    <definedName name="RTYUI" localSheetId="17">BlankMacro1</definedName>
    <definedName name="rtyuu" localSheetId="23">BlankMacro1</definedName>
    <definedName name="rtyuu" localSheetId="17">BlankMacro1</definedName>
    <definedName name="S" localSheetId="23">BlankMacro1</definedName>
    <definedName name="S" localSheetId="45">BlankMacro1</definedName>
    <definedName name="S" localSheetId="31">BlankMacro1</definedName>
    <definedName name="S" localSheetId="38">BlankMacro1</definedName>
    <definedName name="S" localSheetId="18">BlankMacro1</definedName>
    <definedName name="S" localSheetId="22">#REF!</definedName>
    <definedName name="S" localSheetId="17">BlankMacro1</definedName>
    <definedName name="SASASAS" localSheetId="22">#REF!</definedName>
    <definedName name="SET" localSheetId="23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33" hidden="1">#REF!</definedName>
    <definedName name="solver_opt" localSheetId="7" hidden="1">#REF!</definedName>
    <definedName name="solver_opt" localSheetId="48" hidden="1">#REF!</definedName>
    <definedName name="solver_opt" localSheetId="32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localSheetId="33" hidden="1">#REF!,#REF!</definedName>
    <definedName name="solver_tmp" localSheetId="7" hidden="1">#REF!,#REF!</definedName>
    <definedName name="solver_tmp" localSheetId="48" hidden="1">#REF!,#REF!</definedName>
    <definedName name="solver_tmp" localSheetId="32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WS" localSheetId="33" hidden="1">#REF!</definedName>
    <definedName name="SWS" localSheetId="7" hidden="1">#REF!</definedName>
    <definedName name="SWS" localSheetId="48" hidden="1">#REF!</definedName>
    <definedName name="SWS" localSheetId="32" hidden="1">#REF!</definedName>
    <definedName name="SWS" hidden="1">#REF!</definedName>
    <definedName name="T" localSheetId="23">BlankMacro1</definedName>
    <definedName name="T" localSheetId="45">BlankMacro1</definedName>
    <definedName name="T" localSheetId="31">BlankMacro1</definedName>
    <definedName name="T" localSheetId="38">BlankMacro1</definedName>
    <definedName name="T" localSheetId="18">BlankMacro1</definedName>
    <definedName name="T" localSheetId="22">BlankMacro1</definedName>
    <definedName name="T" localSheetId="17">BlankMacro1</definedName>
    <definedName name="TIT" localSheetId="23">#REF!</definedName>
    <definedName name="TIT" localSheetId="45">#REF!</definedName>
    <definedName name="TIT" localSheetId="31">#REF!</definedName>
    <definedName name="TIT" localSheetId="38">#REF!</definedName>
    <definedName name="TIT" localSheetId="18">#REF!</definedName>
    <definedName name="TIT" localSheetId="22">#REF!</definedName>
    <definedName name="TITLES_PRINT" localSheetId="23">#REF!</definedName>
    <definedName name="TITLES_PRINT" localSheetId="45">#REF!</definedName>
    <definedName name="TITLES_PRINT" localSheetId="31">#REF!</definedName>
    <definedName name="TITLES_PRINT" localSheetId="38">#REF!</definedName>
    <definedName name="TITLES_PRINT" localSheetId="18">#REF!</definedName>
    <definedName name="TITLES_PRINT" localSheetId="22">#REF!</definedName>
    <definedName name="tr" localSheetId="33" hidden="1">#REF!</definedName>
    <definedName name="tr" localSheetId="7" hidden="1">#REF!</definedName>
    <definedName name="tr" localSheetId="48" hidden="1">#REF!</definedName>
    <definedName name="tr" localSheetId="32" hidden="1">#REF!</definedName>
    <definedName name="tr" hidden="1">#REF!</definedName>
    <definedName name="TREE" localSheetId="23">BlankMacro1</definedName>
    <definedName name="TREE" localSheetId="17">BlankMacro1</definedName>
    <definedName name="TRY" localSheetId="23">BlankMacro1</definedName>
    <definedName name="TRY" localSheetId="17">BlankMacro1</definedName>
    <definedName name="TTTT" localSheetId="33" hidden="1">#REF!</definedName>
    <definedName name="TTTT" localSheetId="7" hidden="1">#REF!</definedName>
    <definedName name="TTTT" localSheetId="48" hidden="1">#REF!</definedName>
    <definedName name="TTTT" localSheetId="32" hidden="1">#REF!</definedName>
    <definedName name="TTTT" hidden="1">#REF!</definedName>
    <definedName name="TTTTTTTTTTY" localSheetId="23">BlankMacro1</definedName>
    <definedName name="TTTTTTTTTTY" localSheetId="17">BlankMacro1</definedName>
    <definedName name="TYTY" localSheetId="23">BlankMacro1</definedName>
    <definedName name="TYTY" localSheetId="17">BlankMacro1</definedName>
    <definedName name="tyu" localSheetId="23">BlankMacro1</definedName>
    <definedName name="tyu" localSheetId="17">BlankMacro1</definedName>
    <definedName name="TYUI" localSheetId="23">BlankMacro1</definedName>
    <definedName name="TYUI" localSheetId="17">BlankMacro1</definedName>
    <definedName name="tyuio" localSheetId="23">BlankMacro1</definedName>
    <definedName name="tyuio" localSheetId="17">BlankMacro1</definedName>
    <definedName name="UIOP" localSheetId="23">BlankMacro1</definedName>
    <definedName name="UIOP" localSheetId="17">BlankMacro1</definedName>
    <definedName name="UNIT" localSheetId="23">#REF!</definedName>
    <definedName name="uuu" localSheetId="23">BlankMacro1</definedName>
    <definedName name="uuu" localSheetId="17">BlankMacro1</definedName>
    <definedName name="V" localSheetId="23">BlankMacro1</definedName>
    <definedName name="V" localSheetId="45">BlankMacro1</definedName>
    <definedName name="V" localSheetId="31">BlankMacro1</definedName>
    <definedName name="V" localSheetId="38">BlankMacro1</definedName>
    <definedName name="V" localSheetId="18">BlankMacro1</definedName>
    <definedName name="V" localSheetId="22">BlankMacro1</definedName>
    <definedName name="V" localSheetId="17">BlankMacro1</definedName>
    <definedName name="W" localSheetId="23">BlankMacro1</definedName>
    <definedName name="W" localSheetId="45">BlankMacro1</definedName>
    <definedName name="W" localSheetId="31">BlankMacro1</definedName>
    <definedName name="W" localSheetId="38">BlankMacro1</definedName>
    <definedName name="W" localSheetId="18">BlankMacro1</definedName>
    <definedName name="W" localSheetId="22">BlankMacro1</definedName>
    <definedName name="W" localSheetId="17">BlankMacro1</definedName>
    <definedName name="wm.조골재1" localSheetId="23" hidden="1">{#N/A,#N/A,FALSE,"조골재"}</definedName>
    <definedName name="wm.조골재1" localSheetId="45" hidden="1">{#N/A,#N/A,FALSE,"조골재"}</definedName>
    <definedName name="wm.조골재1" localSheetId="31" hidden="1">{#N/A,#N/A,FALSE,"조골재"}</definedName>
    <definedName name="wm.조골재1" localSheetId="15" hidden="1">{#N/A,#N/A,FALSE,"조골재"}</definedName>
    <definedName name="wm.조골재1" localSheetId="3" hidden="1">{#N/A,#N/A,FALSE,"조골재"}</definedName>
    <definedName name="wm.조골재1" localSheetId="14" hidden="1">{#N/A,#N/A,FALSE,"조골재"}</definedName>
    <definedName name="wm.조골재1" localSheetId="17" hidden="1">{#N/A,#N/A,FALSE,"조골재"}</definedName>
    <definedName name="wm.조골재1" hidden="1">{#N/A,#N/A,FALSE,"조골재"}</definedName>
    <definedName name="wrn.2번." localSheetId="23" hidden="1">{#N/A,#N/A,FALSE,"2~8번"}</definedName>
    <definedName name="wrn.2번." localSheetId="45" hidden="1">{#N/A,#N/A,FALSE,"2~8번"}</definedName>
    <definedName name="wrn.2번." localSheetId="31" hidden="1">{#N/A,#N/A,FALSE,"2~8번"}</definedName>
    <definedName name="wrn.2번." localSheetId="15" hidden="1">{#N/A,#N/A,FALSE,"2~8번"}</definedName>
    <definedName name="wrn.2번." localSheetId="3" hidden="1">{#N/A,#N/A,FALSE,"2~8번"}</definedName>
    <definedName name="wrn.2번." localSheetId="14" hidden="1">{#N/A,#N/A,FALSE,"2~8번"}</definedName>
    <definedName name="wrn.2번." localSheetId="17" hidden="1">{#N/A,#N/A,FALSE,"2~8번"}</definedName>
    <definedName name="wrn.2번." hidden="1">{#N/A,#N/A,FALSE,"2~8번"}</definedName>
    <definedName name="wrn.97년._.사업계획._.및._.예산지침." localSheetId="23" hidden="1">{#N/A,#N/A,TRUE,"1";#N/A,#N/A,TRUE,"2";#N/A,#N/A,TRUE,"3";#N/A,#N/A,TRUE,"4";#N/A,#N/A,TRUE,"5";#N/A,#N/A,TRUE,"6";#N/A,#N/A,TRUE,"7"}</definedName>
    <definedName name="wrn.97년._.사업계획._.및._.예산지침." localSheetId="45" hidden="1">{#N/A,#N/A,TRUE,"1";#N/A,#N/A,TRUE,"2";#N/A,#N/A,TRUE,"3";#N/A,#N/A,TRUE,"4";#N/A,#N/A,TRUE,"5";#N/A,#N/A,TRUE,"6";#N/A,#N/A,TRUE,"7"}</definedName>
    <definedName name="wrn.97년._.사업계획._.및._.예산지침." localSheetId="31" hidden="1">{#N/A,#N/A,TRUE,"1";#N/A,#N/A,TRUE,"2";#N/A,#N/A,TRUE,"3";#N/A,#N/A,TRUE,"4";#N/A,#N/A,TRUE,"5";#N/A,#N/A,TRUE,"6";#N/A,#N/A,TRUE,"7"}</definedName>
    <definedName name="wrn.97년._.사업계획._.및._.예산지침." localSheetId="15" hidden="1">{#N/A,#N/A,TRUE,"1";#N/A,#N/A,TRUE,"2";#N/A,#N/A,TRUE,"3";#N/A,#N/A,TRUE,"4";#N/A,#N/A,TRUE,"5";#N/A,#N/A,TRUE,"6";#N/A,#N/A,TRUE,"7"}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14" hidden="1">{#N/A,#N/A,TRUE,"1";#N/A,#N/A,TRUE,"2";#N/A,#N/A,TRUE,"3";#N/A,#N/A,TRUE,"4";#N/A,#N/A,TRUE,"5";#N/A,#N/A,TRUE,"6";#N/A,#N/A,TRUE,"7"}</definedName>
    <definedName name="wrn.97년._.사업계획._.및._.예산지침." localSheetId="17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23" hidden="1">{#N/A,#N/A,TRUE,"천상그린44PY"}</definedName>
    <definedName name="wrn.abc." localSheetId="45" hidden="1">{#N/A,#N/A,TRUE,"천상그린44PY"}</definedName>
    <definedName name="wrn.abc." localSheetId="31" hidden="1">{#N/A,#N/A,TRUE,"천상그린44PY"}</definedName>
    <definedName name="wrn.abc." localSheetId="38" hidden="1">{#N/A,#N/A,TRUE,"천상그린44PY"}</definedName>
    <definedName name="wrn.abc." localSheetId="8" hidden="1">{#N/A,#N/A,TRUE,"천상그린44PY"}</definedName>
    <definedName name="wrn.abc." localSheetId="15" hidden="1">{#N/A,#N/A,TRUE,"천상그린44PY"}</definedName>
    <definedName name="wrn.abc." localSheetId="3" hidden="1">{#N/A,#N/A,TRUE,"천상그린44PY"}</definedName>
    <definedName name="wrn.abc." localSheetId="18" hidden="1">{#N/A,#N/A,TRUE,"천상그린44PY"}</definedName>
    <definedName name="wrn.abc." localSheetId="14" hidden="1">{#N/A,#N/A,TRUE,"천상그린44PY"}</definedName>
    <definedName name="wrn.abc." localSheetId="0" hidden="1">{#N/A,#N/A,TRUE,"천상그린44PY"}</definedName>
    <definedName name="wrn.abc." localSheetId="9" hidden="1">{#N/A,#N/A,TRUE,"천상그린44PY"}</definedName>
    <definedName name="wrn.abc." localSheetId="19" hidden="1">{#N/A,#N/A,TRUE,"천상그린44PY"}</definedName>
    <definedName name="wrn.abc." localSheetId="21" hidden="1">{#N/A,#N/A,TRUE,"천상그린44PY"}</definedName>
    <definedName name="wrn.abc." localSheetId="17" hidden="1">{#N/A,#N/A,TRUE,"천상그린44PY"}</definedName>
    <definedName name="wrn.abc." localSheetId="46" hidden="1">{#N/A,#N/A,TRUE,"천상그린44PY"}</definedName>
    <definedName name="wrn.abc." localSheetId="48" hidden="1">{#N/A,#N/A,TRUE,"천상그린44PY"}</definedName>
    <definedName name="wrn.abc." localSheetId="32" hidden="1">{#N/A,#N/A,TRUE,"천상그린44PY"}</definedName>
    <definedName name="wrn.abc." hidden="1">{#N/A,#N/A,TRUE,"천상그린44PY"}</definedName>
    <definedName name="wrn.test1." localSheetId="45" hidden="1">{#N/A,#N/A,FALSE,"명세표"}</definedName>
    <definedName name="wrn.test1." hidden="1">{#N/A,#N/A,FALSE,"명세표"}</definedName>
    <definedName name="wrn.골재소요량." localSheetId="23" hidden="1">{#N/A,#N/A,FALSE,"골재소요량";#N/A,#N/A,FALSE,"골재소요량"}</definedName>
    <definedName name="wrn.골재소요량." localSheetId="45" hidden="1">{#N/A,#N/A,FALSE,"골재소요량";#N/A,#N/A,FALSE,"골재소요량"}</definedName>
    <definedName name="wrn.골재소요량." localSheetId="31" hidden="1">{#N/A,#N/A,FALSE,"골재소요량";#N/A,#N/A,FALSE,"골재소요량"}</definedName>
    <definedName name="wrn.골재소요량." localSheetId="15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4" hidden="1">{#N/A,#N/A,FALSE,"골재소요량";#N/A,#N/A,FALSE,"골재소요량"}</definedName>
    <definedName name="wrn.골재소요량." localSheetId="17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45" hidden="1">{#N/A,#N/A,FALSE,"전력간선"}</definedName>
    <definedName name="wrn.교육청." hidden="1">{#N/A,#N/A,FALSE,"전력간선"}</definedName>
    <definedName name="wrn.구조2." localSheetId="23" hidden="1">{#N/A,#N/A,FALSE,"구조2"}</definedName>
    <definedName name="wrn.구조2." localSheetId="45" hidden="1">{#N/A,#N/A,FALSE,"구조2"}</definedName>
    <definedName name="wrn.구조2." localSheetId="31" hidden="1">{#N/A,#N/A,FALSE,"구조2"}</definedName>
    <definedName name="wrn.구조2." localSheetId="15" hidden="1">{#N/A,#N/A,FALSE,"구조2"}</definedName>
    <definedName name="wrn.구조2." localSheetId="3" hidden="1">{#N/A,#N/A,FALSE,"구조2"}</definedName>
    <definedName name="wrn.구조2." localSheetId="14" hidden="1">{#N/A,#N/A,FALSE,"구조2"}</definedName>
    <definedName name="wrn.구조2." localSheetId="17" hidden="1">{#N/A,#N/A,FALSE,"구조2"}</definedName>
    <definedName name="wrn.구조2." hidden="1">{#N/A,#N/A,FALSE,"구조2"}</definedName>
    <definedName name="wrn.단가표지." localSheetId="23" hidden="1">{#N/A,#N/A,FALSE,"단가표지"}</definedName>
    <definedName name="wrn.단가표지." localSheetId="45" hidden="1">{#N/A,#N/A,FALSE,"단가표지"}</definedName>
    <definedName name="wrn.단가표지." localSheetId="31" hidden="1">{#N/A,#N/A,FALSE,"단가표지"}</definedName>
    <definedName name="wrn.단가표지." localSheetId="15" hidden="1">{#N/A,#N/A,FALSE,"단가표지"}</definedName>
    <definedName name="wrn.단가표지." localSheetId="3" hidden="1">{#N/A,#N/A,FALSE,"단가표지"}</definedName>
    <definedName name="wrn.단가표지." localSheetId="14" hidden="1">{#N/A,#N/A,FALSE,"단가표지"}</definedName>
    <definedName name="wrn.단가표지." localSheetId="17" hidden="1">{#N/A,#N/A,FALSE,"단가표지"}</definedName>
    <definedName name="wrn.단가표지." hidden="1">{#N/A,#N/A,FALSE,"단가표지"}</definedName>
    <definedName name="wrn.배수1." localSheetId="23" hidden="1">{#N/A,#N/A,FALSE,"배수1"}</definedName>
    <definedName name="wrn.배수1." localSheetId="45" hidden="1">{#N/A,#N/A,FALSE,"배수1"}</definedName>
    <definedName name="wrn.배수1." localSheetId="31" hidden="1">{#N/A,#N/A,FALSE,"배수1"}</definedName>
    <definedName name="wrn.배수1." localSheetId="15" hidden="1">{#N/A,#N/A,FALSE,"배수1"}</definedName>
    <definedName name="wrn.배수1." localSheetId="3" hidden="1">{#N/A,#N/A,FALSE,"배수1"}</definedName>
    <definedName name="wrn.배수1." localSheetId="14" hidden="1">{#N/A,#N/A,FALSE,"배수1"}</definedName>
    <definedName name="wrn.배수1." localSheetId="17" hidden="1">{#N/A,#N/A,FALSE,"배수1"}</definedName>
    <definedName name="wrn.배수1." hidden="1">{#N/A,#N/A,FALSE,"배수1"}</definedName>
    <definedName name="wrn.배수2." localSheetId="23" hidden="1">{#N/A,#N/A,FALSE,"배수2"}</definedName>
    <definedName name="wrn.배수2." localSheetId="45" hidden="1">{#N/A,#N/A,FALSE,"배수2"}</definedName>
    <definedName name="wrn.배수2." localSheetId="31" hidden="1">{#N/A,#N/A,FALSE,"배수2"}</definedName>
    <definedName name="wrn.배수2." localSheetId="15" hidden="1">{#N/A,#N/A,FALSE,"배수2"}</definedName>
    <definedName name="wrn.배수2." localSheetId="3" hidden="1">{#N/A,#N/A,FALSE,"배수2"}</definedName>
    <definedName name="wrn.배수2." localSheetId="14" hidden="1">{#N/A,#N/A,FALSE,"배수2"}</definedName>
    <definedName name="wrn.배수2." localSheetId="17" hidden="1">{#N/A,#N/A,FALSE,"배수2"}</definedName>
    <definedName name="wrn.배수2." hidden="1">{#N/A,#N/A,FALSE,"배수2"}</definedName>
    <definedName name="wrn.부대1." localSheetId="23" hidden="1">{#N/A,#N/A,FALSE,"부대1"}</definedName>
    <definedName name="wrn.부대1." localSheetId="45" hidden="1">{#N/A,#N/A,FALSE,"부대1"}</definedName>
    <definedName name="wrn.부대1." localSheetId="31" hidden="1">{#N/A,#N/A,FALSE,"부대1"}</definedName>
    <definedName name="wrn.부대1." localSheetId="15" hidden="1">{#N/A,#N/A,FALSE,"부대1"}</definedName>
    <definedName name="wrn.부대1." localSheetId="3" hidden="1">{#N/A,#N/A,FALSE,"부대1"}</definedName>
    <definedName name="wrn.부대1." localSheetId="14" hidden="1">{#N/A,#N/A,FALSE,"부대1"}</definedName>
    <definedName name="wrn.부대1." localSheetId="17" hidden="1">{#N/A,#N/A,FALSE,"부대1"}</definedName>
    <definedName name="wrn.부대1." hidden="1">{#N/A,#N/A,FALSE,"부대1"}</definedName>
    <definedName name="wrn.부대2." localSheetId="23" hidden="1">{#N/A,#N/A,FALSE,"부대2"}</definedName>
    <definedName name="wrn.부대2." localSheetId="45" hidden="1">{#N/A,#N/A,FALSE,"부대2"}</definedName>
    <definedName name="wrn.부대2." localSheetId="31" hidden="1">{#N/A,#N/A,FALSE,"부대2"}</definedName>
    <definedName name="wrn.부대2." localSheetId="15" hidden="1">{#N/A,#N/A,FALSE,"부대2"}</definedName>
    <definedName name="wrn.부대2." localSheetId="3" hidden="1">{#N/A,#N/A,FALSE,"부대2"}</definedName>
    <definedName name="wrn.부대2." localSheetId="14" hidden="1">{#N/A,#N/A,FALSE,"부대2"}</definedName>
    <definedName name="wrn.부대2." localSheetId="17" hidden="1">{#N/A,#N/A,FALSE,"부대2"}</definedName>
    <definedName name="wrn.부대2." hidden="1">{#N/A,#N/A,FALSE,"부대2"}</definedName>
    <definedName name="wrn.부산주경기장.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3" hidden="1">{#N/A,#N/A,FALSE,"속도"}</definedName>
    <definedName name="wrn.속도." localSheetId="45" hidden="1">{#N/A,#N/A,FALSE,"속도"}</definedName>
    <definedName name="wrn.속도." localSheetId="31" hidden="1">{#N/A,#N/A,FALSE,"속도"}</definedName>
    <definedName name="wrn.속도." localSheetId="15" hidden="1">{#N/A,#N/A,FALSE,"속도"}</definedName>
    <definedName name="wrn.속도." localSheetId="3" hidden="1">{#N/A,#N/A,FALSE,"속도"}</definedName>
    <definedName name="wrn.속도." localSheetId="14" hidden="1">{#N/A,#N/A,FALSE,"속도"}</definedName>
    <definedName name="wrn.속도." localSheetId="17" hidden="1">{#N/A,#N/A,FALSE,"속도"}</definedName>
    <definedName name="wrn.속도." hidden="1">{#N/A,#N/A,FALSE,"속도"}</definedName>
    <definedName name="wrn.운반시간." localSheetId="23" hidden="1">{#N/A,#N/A,FALSE,"운반시간"}</definedName>
    <definedName name="wrn.운반시간." localSheetId="45" hidden="1">{#N/A,#N/A,FALSE,"운반시간"}</definedName>
    <definedName name="wrn.운반시간." localSheetId="31" hidden="1">{#N/A,#N/A,FALSE,"운반시간"}</definedName>
    <definedName name="wrn.운반시간." localSheetId="15" hidden="1">{#N/A,#N/A,FALSE,"운반시간"}</definedName>
    <definedName name="wrn.운반시간." localSheetId="3" hidden="1">{#N/A,#N/A,FALSE,"운반시간"}</definedName>
    <definedName name="wrn.운반시간." localSheetId="14" hidden="1">{#N/A,#N/A,FALSE,"운반시간"}</definedName>
    <definedName name="wrn.운반시간." localSheetId="17" hidden="1">{#N/A,#N/A,FALSE,"운반시간"}</definedName>
    <definedName name="wrn.운반시간." hidden="1">{#N/A,#N/A,FALSE,"운반시간"}</definedName>
    <definedName name="wrn.이정표." localSheetId="23" hidden="1">{#N/A,#N/A,FALSE,"이정표"}</definedName>
    <definedName name="wrn.이정표." localSheetId="45" hidden="1">{#N/A,#N/A,FALSE,"이정표"}</definedName>
    <definedName name="wrn.이정표." localSheetId="31" hidden="1">{#N/A,#N/A,FALSE,"이정표"}</definedName>
    <definedName name="wrn.이정표." localSheetId="15" hidden="1">{#N/A,#N/A,FALSE,"이정표"}</definedName>
    <definedName name="wrn.이정표." localSheetId="3" hidden="1">{#N/A,#N/A,FALSE,"이정표"}</definedName>
    <definedName name="wrn.이정표." localSheetId="14" hidden="1">{#N/A,#N/A,FALSE,"이정표"}</definedName>
    <definedName name="wrn.이정표." localSheetId="17" hidden="1">{#N/A,#N/A,FALSE,"이정표"}</definedName>
    <definedName name="wrn.이정표." hidden="1">{#N/A,#N/A,FALSE,"이정표"}</definedName>
    <definedName name="wrn.조골재." localSheetId="23" hidden="1">{#N/A,#N/A,FALSE,"조골재"}</definedName>
    <definedName name="wrn.조골재." localSheetId="45" hidden="1">{#N/A,#N/A,FALSE,"조골재"}</definedName>
    <definedName name="wrn.조골재." localSheetId="31" hidden="1">{#N/A,#N/A,FALSE,"조골재"}</definedName>
    <definedName name="wrn.조골재." localSheetId="15" hidden="1">{#N/A,#N/A,FALSE,"조골재"}</definedName>
    <definedName name="wrn.조골재." localSheetId="3" hidden="1">{#N/A,#N/A,FALSE,"조골재"}</definedName>
    <definedName name="wrn.조골재." localSheetId="14" hidden="1">{#N/A,#N/A,FALSE,"조골재"}</definedName>
    <definedName name="wrn.조골재." localSheetId="17" hidden="1">{#N/A,#N/A,FALSE,"조골재"}</definedName>
    <definedName name="wrn.조골재." hidden="1">{#N/A,#N/A,FALSE,"조골재"}</definedName>
    <definedName name="wrn.토공1." localSheetId="23" hidden="1">{#N/A,#N/A,FALSE,"구조1"}</definedName>
    <definedName name="wrn.토공1." localSheetId="45" hidden="1">{#N/A,#N/A,FALSE,"구조1"}</definedName>
    <definedName name="wrn.토공1." localSheetId="31" hidden="1">{#N/A,#N/A,FALSE,"구조1"}</definedName>
    <definedName name="wrn.토공1." localSheetId="15" hidden="1">{#N/A,#N/A,FALSE,"구조1"}</definedName>
    <definedName name="wrn.토공1." localSheetId="3" hidden="1">{#N/A,#N/A,FALSE,"구조1"}</definedName>
    <definedName name="wrn.토공1." localSheetId="14" hidden="1">{#N/A,#N/A,FALSE,"구조1"}</definedName>
    <definedName name="wrn.토공1." localSheetId="17" hidden="1">{#N/A,#N/A,FALSE,"구조1"}</definedName>
    <definedName name="wrn.토공1." hidden="1">{#N/A,#N/A,FALSE,"구조1"}</definedName>
    <definedName name="wrn.토공2." localSheetId="23" hidden="1">{#N/A,#N/A,FALSE,"토공2"}</definedName>
    <definedName name="wrn.토공2." localSheetId="45" hidden="1">{#N/A,#N/A,FALSE,"토공2"}</definedName>
    <definedName name="wrn.토공2." localSheetId="31" hidden="1">{#N/A,#N/A,FALSE,"토공2"}</definedName>
    <definedName name="wrn.토공2." localSheetId="15" hidden="1">{#N/A,#N/A,FALSE,"토공2"}</definedName>
    <definedName name="wrn.토공2." localSheetId="3" hidden="1">{#N/A,#N/A,FALSE,"토공2"}</definedName>
    <definedName name="wrn.토공2." localSheetId="14" hidden="1">{#N/A,#N/A,FALSE,"토공2"}</definedName>
    <definedName name="wrn.토공2." localSheetId="17" hidden="1">{#N/A,#N/A,FALSE,"토공2"}</definedName>
    <definedName name="wrn.토공2." hidden="1">{#N/A,#N/A,FALSE,"토공2"}</definedName>
    <definedName name="wrn.포장1." localSheetId="23" hidden="1">{#N/A,#N/A,FALSE,"포장1";#N/A,#N/A,FALSE,"포장1"}</definedName>
    <definedName name="wrn.포장1." localSheetId="45" hidden="1">{#N/A,#N/A,FALSE,"포장1";#N/A,#N/A,FALSE,"포장1"}</definedName>
    <definedName name="wrn.포장1." localSheetId="31" hidden="1">{#N/A,#N/A,FALSE,"포장1";#N/A,#N/A,FALSE,"포장1"}</definedName>
    <definedName name="wrn.포장1." localSheetId="15" hidden="1">{#N/A,#N/A,FALSE,"포장1";#N/A,#N/A,FALSE,"포장1"}</definedName>
    <definedName name="wrn.포장1." localSheetId="3" hidden="1">{#N/A,#N/A,FALSE,"포장1";#N/A,#N/A,FALSE,"포장1"}</definedName>
    <definedName name="wrn.포장1." localSheetId="14" hidden="1">{#N/A,#N/A,FALSE,"포장1";#N/A,#N/A,FALSE,"포장1"}</definedName>
    <definedName name="wrn.포장1." localSheetId="17" hidden="1">{#N/A,#N/A,FALSE,"포장1";#N/A,#N/A,FALSE,"포장1"}</definedName>
    <definedName name="wrn.포장1." hidden="1">{#N/A,#N/A,FALSE,"포장1";#N/A,#N/A,FALSE,"포장1"}</definedName>
    <definedName name="wrn.포장2." localSheetId="23" hidden="1">{#N/A,#N/A,FALSE,"포장2"}</definedName>
    <definedName name="wrn.포장2." localSheetId="45" hidden="1">{#N/A,#N/A,FALSE,"포장2"}</definedName>
    <definedName name="wrn.포장2." localSheetId="31" hidden="1">{#N/A,#N/A,FALSE,"포장2"}</definedName>
    <definedName name="wrn.포장2." localSheetId="15" hidden="1">{#N/A,#N/A,FALSE,"포장2"}</definedName>
    <definedName name="wrn.포장2." localSheetId="3" hidden="1">{#N/A,#N/A,FALSE,"포장2"}</definedName>
    <definedName name="wrn.포장2." localSheetId="14" hidden="1">{#N/A,#N/A,FALSE,"포장2"}</definedName>
    <definedName name="wrn.포장2." localSheetId="17" hidden="1">{#N/A,#N/A,FALSE,"포장2"}</definedName>
    <definedName name="wrn.포장2." hidden="1">{#N/A,#N/A,FALSE,"포장2"}</definedName>
    <definedName name="wrn.표지." localSheetId="23" hidden="1">{#N/A,#N/A,FALSE,"표지"}</definedName>
    <definedName name="wrn.표지." localSheetId="45" hidden="1">{#N/A,#N/A,FALSE,"표지"}</definedName>
    <definedName name="wrn.표지." localSheetId="31" hidden="1">{#N/A,#N/A,FALSE,"표지"}</definedName>
    <definedName name="wrn.표지." localSheetId="15" hidden="1">{#N/A,#N/A,FALSE,"표지"}</definedName>
    <definedName name="wrn.표지." localSheetId="3" hidden="1">{#N/A,#N/A,FALSE,"표지"}</definedName>
    <definedName name="wrn.표지." localSheetId="14" hidden="1">{#N/A,#N/A,FALSE,"표지"}</definedName>
    <definedName name="wrn.표지." localSheetId="17" hidden="1">{#N/A,#N/A,FALSE,"표지"}</definedName>
    <definedName name="wrn.표지." hidden="1">{#N/A,#N/A,FALSE,"표지"}</definedName>
    <definedName name="wrn.표지목차." localSheetId="23" hidden="1">{#N/A,#N/A,FALSE,"표지목차"}</definedName>
    <definedName name="wrn.표지목차." localSheetId="45" hidden="1">{#N/A,#N/A,FALSE,"표지목차"}</definedName>
    <definedName name="wrn.표지목차." localSheetId="31" hidden="1">{#N/A,#N/A,FALSE,"표지목차"}</definedName>
    <definedName name="wrn.표지목차." localSheetId="15" hidden="1">{#N/A,#N/A,FALSE,"표지목차"}</definedName>
    <definedName name="wrn.표지목차." localSheetId="3" hidden="1">{#N/A,#N/A,FALSE,"표지목차"}</definedName>
    <definedName name="wrn.표지목차." localSheetId="14" hidden="1">{#N/A,#N/A,FALSE,"표지목차"}</definedName>
    <definedName name="wrn.표지목차." localSheetId="17" hidden="1">{#N/A,#N/A,FALSE,"표지목차"}</definedName>
    <definedName name="wrn.표지목차." hidden="1">{#N/A,#N/A,FALSE,"표지목차"}</definedName>
    <definedName name="wrn.혼합골재." localSheetId="23" hidden="1">{#N/A,#N/A,FALSE,"혼합골재"}</definedName>
    <definedName name="wrn.혼합골재." localSheetId="45" hidden="1">{#N/A,#N/A,FALSE,"혼합골재"}</definedName>
    <definedName name="wrn.혼합골재." localSheetId="31" hidden="1">{#N/A,#N/A,FALSE,"혼합골재"}</definedName>
    <definedName name="wrn.혼합골재." localSheetId="15" hidden="1">{#N/A,#N/A,FALSE,"혼합골재"}</definedName>
    <definedName name="wrn.혼합골재." localSheetId="3" hidden="1">{#N/A,#N/A,FALSE,"혼합골재"}</definedName>
    <definedName name="wrn.혼합골재." localSheetId="14" hidden="1">{#N/A,#N/A,FALSE,"혼합골재"}</definedName>
    <definedName name="wrn.혼합골재." localSheetId="17" hidden="1">{#N/A,#N/A,FALSE,"혼합골재"}</definedName>
    <definedName name="wrn.혼합골재." hidden="1">{#N/A,#N/A,FALSE,"혼합골재"}</definedName>
    <definedName name="wwee" localSheetId="23">#REF!</definedName>
    <definedName name="WW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3">BlankMacro1</definedName>
    <definedName name="X" localSheetId="45">BlankMacro1</definedName>
    <definedName name="X" localSheetId="31">BlankMacro1</definedName>
    <definedName name="X" localSheetId="38">BlankMacro1</definedName>
    <definedName name="X" localSheetId="18">BlankMacro1</definedName>
    <definedName name="X" localSheetId="22">BlankMacro1</definedName>
    <definedName name="X" localSheetId="17">BlankMacro1</definedName>
    <definedName name="XCXZX" localSheetId="18">#REF!</definedName>
    <definedName name="XCZXC" localSheetId="22">#REF!</definedName>
    <definedName name="Y" localSheetId="23">BlankMacro1</definedName>
    <definedName name="Y" localSheetId="45">BlankMacro1</definedName>
    <definedName name="Y" localSheetId="31">BlankMacro1</definedName>
    <definedName name="Y" localSheetId="38">BlankMacro1</definedName>
    <definedName name="Y" localSheetId="18">BlankMacro1</definedName>
    <definedName name="Y" localSheetId="22">BlankMacro1</definedName>
    <definedName name="Y" localSheetId="17">BlankMacro1</definedName>
    <definedName name="ytrre" localSheetId="23">BlankMacro1</definedName>
    <definedName name="ytrre" localSheetId="17">BlankMacro1</definedName>
    <definedName name="yyyyyyyyyyyyu" localSheetId="23">BlankMacro1</definedName>
    <definedName name="yyyyyyyyyyyyu" localSheetId="17">BlankMacro1</definedName>
    <definedName name="Z" localSheetId="23">#REF!</definedName>
    <definedName name="Z" localSheetId="45">#REF!</definedName>
    <definedName name="Z" localSheetId="31">#REF!</definedName>
    <definedName name="Z" localSheetId="38">#REF!</definedName>
    <definedName name="Z" localSheetId="22">#REF!</definedName>
    <definedName name="zz" localSheetId="23">#REF!</definedName>
    <definedName name="ZZZ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." localSheetId="23">#REF!</definedName>
    <definedName name="ㄱㄱㄱ" localSheetId="23">#REF!</definedName>
    <definedName name="ㄱㄱㄱ" localSheetId="45">#REF!</definedName>
    <definedName name="ㄱㄱㄱ" localSheetId="31">#REF!</definedName>
    <definedName name="ㄱㄱㄱ" localSheetId="38">#REF!</definedName>
    <definedName name="ㄱㄱㄱ" localSheetId="18">#REF!</definedName>
    <definedName name="ㄱㄱㄱ" localSheetId="22">#REF!</definedName>
    <definedName name="ㄱㄷㄷ" localSheetId="23">BlankMacro1</definedName>
    <definedName name="ㄱㄷㄷ" localSheetId="17">BlankMacro1</definedName>
    <definedName name="ㄱㄷㅈㄹ" localSheetId="23">BlankMacro1</definedName>
    <definedName name="ㄱㄷㅈㄹ" localSheetId="17">BlankMacro1</definedName>
    <definedName name="가" localSheetId="23">BlankMacro1</definedName>
    <definedName name="가" localSheetId="45">BlankMacro1</definedName>
    <definedName name="가" localSheetId="31">BlankMacro1</definedName>
    <definedName name="가" localSheetId="38">BlankMacro1</definedName>
    <definedName name="가" localSheetId="18">BlankMacro1</definedName>
    <definedName name="가" localSheetId="22">BlankMacro1</definedName>
    <definedName name="가" localSheetId="17">BlankMacro1</definedName>
    <definedName name="가가" localSheetId="23">BlankMacro1</definedName>
    <definedName name="가가" localSheetId="45">BlankMacro1</definedName>
    <definedName name="가가" localSheetId="31">BlankMacro1</definedName>
    <definedName name="가가" localSheetId="38">BlankMacro1</definedName>
    <definedName name="가가" localSheetId="18">BlankMacro1</definedName>
    <definedName name="가가" localSheetId="22">BlankMacro1</definedName>
    <definedName name="가가" localSheetId="17">BlankMacro1</definedName>
    <definedName name="가나" localSheetId="23">BlankMacro1</definedName>
    <definedName name="가나" localSheetId="17">BlankMacro1</definedName>
    <definedName name="가라" localSheetId="23">BlankMacro1</definedName>
    <definedName name="가라" localSheetId="17">BlankMacro1</definedName>
    <definedName name="가로등" localSheetId="23">'가로등 (2)'!가로등</definedName>
    <definedName name="가로등" localSheetId="31">'고재산출(STS)'!가로등</definedName>
    <definedName name="가로등" localSheetId="17">'표지4-'!가로등</definedName>
    <definedName name="가로등입력" localSheetId="23">'가로등 (2)'!가로등입력</definedName>
    <definedName name="가로등입력" localSheetId="31">'고재산출(STS)'!가로등입력</definedName>
    <definedName name="가로등입력" localSheetId="17">'표지4-'!가로등입력</definedName>
    <definedName name="가모" localSheetId="23">BlankMacro1</definedName>
    <definedName name="가모" localSheetId="17">BlankMacro1</definedName>
    <definedName name="가바" localSheetId="23">BlankMacro1</definedName>
    <definedName name="가바" localSheetId="31">BlankMacro1</definedName>
    <definedName name="가바" localSheetId="17">BlankMacro1</definedName>
    <definedName name="가사" localSheetId="23">BlankMacro1</definedName>
    <definedName name="가사" localSheetId="17">BlankMacro1</definedName>
    <definedName name="가오" localSheetId="23">BlankMacro1</definedName>
    <definedName name="가오" localSheetId="17">BlankMacro1</definedName>
    <definedName name="가하" localSheetId="23">BlankMacro1</definedName>
    <definedName name="가하" localSheetId="17">BlankMacro1</definedName>
    <definedName name="간노" localSheetId="23">#REF!</definedName>
    <definedName name="간선변경" localSheetId="23">BlankMacro1</definedName>
    <definedName name="간선변경" localSheetId="45">BlankMacro1</definedName>
    <definedName name="간선변경" localSheetId="31">BlankMacro1</definedName>
    <definedName name="간선변경" localSheetId="38">BlankMacro1</definedName>
    <definedName name="간선변경" localSheetId="18">BlankMacro1</definedName>
    <definedName name="간선변경" localSheetId="22">BlankMacro1</definedName>
    <definedName name="간선변경" localSheetId="17">BlankMacro1</definedName>
    <definedName name="간접노무비" localSheetId="45">#REF!</definedName>
    <definedName name="간접노무비" localSheetId="31">#REF!</definedName>
    <definedName name="간접노무비" localSheetId="38">#REF!</definedName>
    <definedName name="간접노무비" localSheetId="18">#REF!</definedName>
    <definedName name="간지" localSheetId="23">#REF!</definedName>
    <definedName name="강병창" localSheetId="23">BlankMacro1</definedName>
    <definedName name="강병창" localSheetId="31">BlankMacro1</definedName>
    <definedName name="강병창" localSheetId="17">BlankMacro1</definedName>
    <definedName name="강아지" localSheetId="33" hidden="1">#REF!</definedName>
    <definedName name="강아지" localSheetId="7" hidden="1">#REF!</definedName>
    <definedName name="강아지" localSheetId="48" hidden="1">#REF!</definedName>
    <definedName name="강아지" localSheetId="32" hidden="1">#REF!</definedName>
    <definedName name="강아지" hidden="1">#REF!</definedName>
    <definedName name="견적" localSheetId="23">#REF!</definedName>
    <definedName name="견적" localSheetId="45">#REF!</definedName>
    <definedName name="견적" localSheetId="31">#REF!</definedName>
    <definedName name="견적" localSheetId="38">#REF!</definedName>
    <definedName name="견적" localSheetId="18">#REF!</definedName>
    <definedName name="견적" localSheetId="22">#REF!</definedName>
    <definedName name="견적1" localSheetId="23">Dlog_Show</definedName>
    <definedName name="견적1" localSheetId="31">Dlog_Show</definedName>
    <definedName name="견적1" localSheetId="17">Dlog_Show</definedName>
    <definedName name="견적2" localSheetId="23">Dlog_Show</definedName>
    <definedName name="견적2" localSheetId="31">Dlog_Show</definedName>
    <definedName name="견적2" localSheetId="17">Dlog_Show</definedName>
    <definedName name="견적대비" localSheetId="33" hidden="1">#REF!</definedName>
    <definedName name="견적대비" localSheetId="7" hidden="1">#REF!</definedName>
    <definedName name="견적대비" localSheetId="48" hidden="1">#REF!</definedName>
    <definedName name="견적대비" localSheetId="32" hidden="1">#REF!</definedName>
    <definedName name="견적대비" hidden="1">#REF!</definedName>
    <definedName name="결표지" localSheetId="23" hidden="1">{#N/A,#N/A,FALSE,"표지"}</definedName>
    <definedName name="결표지" localSheetId="45" hidden="1">{#N/A,#N/A,FALSE,"표지"}</definedName>
    <definedName name="결표지" localSheetId="31" hidden="1">{#N/A,#N/A,FALSE,"표지"}</definedName>
    <definedName name="결표지" localSheetId="15" hidden="1">{#N/A,#N/A,FALSE,"표지"}</definedName>
    <definedName name="결표지" localSheetId="3" hidden="1">{#N/A,#N/A,FALSE,"표지"}</definedName>
    <definedName name="결표지" localSheetId="14" hidden="1">{#N/A,#N/A,FALSE,"표지"}</definedName>
    <definedName name="결표지" localSheetId="17" hidden="1">{#N/A,#N/A,FALSE,"표지"}</definedName>
    <definedName name="결표지" hidden="1">{#N/A,#N/A,FALSE,"표지"}</definedName>
    <definedName name="경구중" localSheetId="23">BlankMacro1</definedName>
    <definedName name="경구중" localSheetId="31">BlankMacro1</definedName>
    <definedName name="경구중" localSheetId="17">BlankMacro1</definedName>
    <definedName name="經費" localSheetId="23">#REF!</definedName>
    <definedName name="경비배부율" localSheetId="23">#REF!</definedName>
    <definedName name="경비율" localSheetId="23">#REF!</definedName>
    <definedName name="계측기기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 localSheetId="45">#REF!</definedName>
    <definedName name="공급가액" localSheetId="31">#REF!</definedName>
    <definedName name="공급가액" localSheetId="38">#REF!</definedName>
    <definedName name="공급가액" localSheetId="18">#REF!</definedName>
    <definedName name="공사비" localSheetId="45">#REF!</definedName>
    <definedName name="공사비" localSheetId="31">#REF!</definedName>
    <definedName name="공사비" localSheetId="38">#REF!</definedName>
    <definedName name="공사비" localSheetId="18">#REF!</definedName>
    <definedName name="공사비산출" localSheetId="23">#REF!</definedName>
    <definedName name="공원등기초" localSheetId="45" hidden="1">{#N/A,#N/A,FALSE,"골재소요량";#N/A,#N/A,FALSE,"골재소요량"}</definedName>
    <definedName name="공원등기초" hidden="1">{#N/A,#N/A,FALSE,"골재소요량";#N/A,#N/A,FALSE,"골재소요량"}</definedName>
    <definedName name="공일" localSheetId="23">#REF!</definedName>
    <definedName name="공일" localSheetId="45">#REF!</definedName>
    <definedName name="공일" localSheetId="31">#REF!</definedName>
    <definedName name="공일" localSheetId="38">#REF!</definedName>
    <definedName name="공일" localSheetId="18">#REF!</definedName>
    <definedName name="공일" localSheetId="22">#REF!</definedName>
    <definedName name="공종10" localSheetId="23">#REF!</definedName>
    <definedName name="공통" localSheetId="23">#REF!</definedName>
    <definedName name="관급" localSheetId="23">#REF!,#REF!,#REF!</definedName>
    <definedName name="관급" localSheetId="45">#REF!,#REF!,#REF!</definedName>
    <definedName name="관급" localSheetId="31">#REF!,#REF!,#REF!</definedName>
    <definedName name="관급" localSheetId="38">#REF!,#REF!,#REF!</definedName>
    <definedName name="관급" localSheetId="18">#REF!,#REF!,#REF!</definedName>
    <definedName name="관급1" localSheetId="23">'가로등 (2)'!관급</definedName>
    <definedName name="관급1" localSheetId="17">'가로등 (2)'!관급</definedName>
    <definedName name="관급2" localSheetId="23">'가로등 (2)'!관급2</definedName>
    <definedName name="관급2" localSheetId="17">'표지4-'!관급2</definedName>
    <definedName name="관급자재비" localSheetId="45">#REF!</definedName>
    <definedName name="관급자재비" localSheetId="31">#REF!</definedName>
    <definedName name="관급자재비" localSheetId="38">#REF!</definedName>
    <definedName name="관급자재비" localSheetId="18">#REF!</definedName>
    <definedName name="관급집계" localSheetId="23">BlankMacro1</definedName>
    <definedName name="관급집계" localSheetId="45">BlankMacro1</definedName>
    <definedName name="관급집계" localSheetId="31">BlankMacro1</definedName>
    <definedName name="관급집계" localSheetId="38">BlankMacro1</definedName>
    <definedName name="관급집계" localSheetId="18">BlankMacro1</definedName>
    <definedName name="관급집계" localSheetId="22">BlankMacro1</definedName>
    <definedName name="관급집계" localSheetId="17">BlankMacro1</definedName>
    <definedName name="광명" localSheetId="23">#REF!</definedName>
    <definedName name="교부승인" localSheetId="23">BlankMacro1</definedName>
    <definedName name="교부승인" localSheetId="17">BlankMacro1</definedName>
    <definedName name="구산갑지" localSheetId="33" hidden="1">#REF!</definedName>
    <definedName name="구산갑지" localSheetId="7" hidden="1">#REF!</definedName>
    <definedName name="구산갑지" localSheetId="48" hidden="1">#REF!</definedName>
    <definedName name="구산갑지" localSheetId="32" hidden="1">#REF!</definedName>
    <definedName name="구산갑지" hidden="1">#REF!</definedName>
    <definedName name="근01" localSheetId="23">#REF!</definedName>
    <definedName name="근거1" localSheetId="23">#REF!</definedName>
    <definedName name="금속" localSheetId="23">#REF!</definedName>
    <definedName name="급식" localSheetId="23">BlankMacro1</definedName>
    <definedName name="급식" localSheetId="31">BlankMacro1</definedName>
    <definedName name="급식" localSheetId="17">BlankMacro1</definedName>
    <definedName name="기1997" localSheetId="23">#REF!</definedName>
    <definedName name="기96083" localSheetId="23">#REF!</definedName>
    <definedName name="기96091" localSheetId="23">#REF!</definedName>
    <definedName name="기96093" localSheetId="23">#REF!</definedName>
    <definedName name="기96101" localSheetId="23">#REF!</definedName>
    <definedName name="기96103" localSheetId="23">#REF!</definedName>
    <definedName name="기96111" localSheetId="23">#REF!</definedName>
    <definedName name="기96113" localSheetId="23">#REF!</definedName>
    <definedName name="기96121" localSheetId="23">#REF!</definedName>
    <definedName name="기96123" localSheetId="23">#REF!</definedName>
    <definedName name="기97011" localSheetId="23">#REF!</definedName>
    <definedName name="기97013" localSheetId="23">#REF!</definedName>
    <definedName name="기계" localSheetId="23">#REF!</definedName>
    <definedName name="기계경비" localSheetId="23">#REF!</definedName>
    <definedName name="기준" localSheetId="23">#REF!</definedName>
    <definedName name="기타" localSheetId="23">#REF!</definedName>
    <definedName name="기타경비" localSheetId="45">#REF!</definedName>
    <definedName name="기타경비" localSheetId="31">#REF!</definedName>
    <definedName name="기타경비" localSheetId="38">#REF!</definedName>
    <definedName name="기타경비" localSheetId="18">#REF!</definedName>
    <definedName name="기타비목" localSheetId="23">#REF!</definedName>
    <definedName name="기타자재" localSheetId="23">'가로등 (2)'!기타자재</definedName>
    <definedName name="기타자재" localSheetId="31">'고재산출(STS)'!기타자재</definedName>
    <definedName name="기타자재" localSheetId="17">'표지4-'!기타자재</definedName>
    <definedName name="김김김" localSheetId="23" hidden="1">{#N/A,#N/A,FALSE,"속도"}</definedName>
    <definedName name="김김김" localSheetId="45" hidden="1">{#N/A,#N/A,FALSE,"속도"}</definedName>
    <definedName name="김김김" localSheetId="31" hidden="1">{#N/A,#N/A,FALSE,"속도"}</definedName>
    <definedName name="김김김" localSheetId="15" hidden="1">{#N/A,#N/A,FALSE,"속도"}</definedName>
    <definedName name="김김김" localSheetId="3" hidden="1">{#N/A,#N/A,FALSE,"속도"}</definedName>
    <definedName name="김김김" localSheetId="14" hidden="1">{#N/A,#N/A,FALSE,"속도"}</definedName>
    <definedName name="김김김" localSheetId="17" hidden="1">{#N/A,#N/A,FALSE,"속도"}</definedName>
    <definedName name="김김김" hidden="1">{#N/A,#N/A,FALSE,"속도"}</definedName>
    <definedName name="ㄳㄷㄷ" localSheetId="23">BlankMacro1</definedName>
    <definedName name="ㄳㄷㄷ" localSheetId="17">BlankMacro1</definedName>
    <definedName name="ㄴ." localSheetId="23">#REF!</definedName>
    <definedName name="ㄴㄴㄴ" localSheetId="33" hidden="1">#REF!</definedName>
    <definedName name="ㄴㄴㄴ" localSheetId="7" hidden="1">#REF!</definedName>
    <definedName name="ㄴㄴㄴ" localSheetId="48" hidden="1">#REF!</definedName>
    <definedName name="ㄴㄴㄴ" localSheetId="32" hidden="1">#REF!</definedName>
    <definedName name="ㄴㄴㄴ" hidden="1">#REF!</definedName>
    <definedName name="ㄴㄴㄴㄴ" localSheetId="33" hidden="1">#REF!</definedName>
    <definedName name="ㄴㄴㄴㄴ" localSheetId="7" hidden="1">#REF!</definedName>
    <definedName name="ㄴㄴㄴㄴ" localSheetId="48" hidden="1">#REF!</definedName>
    <definedName name="ㄴㄴㄴㄴ" localSheetId="32" hidden="1">#REF!</definedName>
    <definedName name="ㄴㄴㄴㄴ" hidden="1">#REF!</definedName>
    <definedName name="ㄴㄹ" localSheetId="33" hidden="1">#REF!</definedName>
    <definedName name="ㄴㄹ" localSheetId="7" hidden="1">#REF!</definedName>
    <definedName name="ㄴㄹ" localSheetId="48" hidden="1">#REF!</definedName>
    <definedName name="ㄴㄹ" localSheetId="32" hidden="1">#REF!</definedName>
    <definedName name="ㄴㄹ" hidden="1">#REF!</definedName>
    <definedName name="ㄴㅀ" localSheetId="33" hidden="1">#REF!</definedName>
    <definedName name="ㄴㅀ" localSheetId="7" hidden="1">#REF!</definedName>
    <definedName name="ㄴㅀ" localSheetId="48" hidden="1">#REF!</definedName>
    <definedName name="ㄴㅀ" localSheetId="32" hidden="1">#REF!</definedName>
    <definedName name="ㄴㅀ" hidden="1">#REF!</definedName>
    <definedName name="ㄴㅁ" localSheetId="33" hidden="1">#REF!</definedName>
    <definedName name="ㄴㅁ" localSheetId="7" hidden="1">#REF!</definedName>
    <definedName name="ㄴㅁ" localSheetId="48" hidden="1">#REF!</definedName>
    <definedName name="ㄴㅁ" localSheetId="32" hidden="1">#REF!</definedName>
    <definedName name="ㄴㅁ" hidden="1">#REF!</definedName>
    <definedName name="ㄴㅇ류" localSheetId="23">#REF!</definedName>
    <definedName name="나" localSheetId="23">BlankMacro1</definedName>
    <definedName name="나" localSheetId="45">BlankMacro1</definedName>
    <definedName name="나" localSheetId="31">BlankMacro1</definedName>
    <definedName name="나" localSheetId="38">BlankMacro1</definedName>
    <definedName name="나" localSheetId="18">BlankMacro1</definedName>
    <definedName name="나" localSheetId="22">BlankMacro1</definedName>
    <definedName name="나" localSheetId="17">BlankMacro1</definedName>
    <definedName name="나나" localSheetId="23">BlankMacro1</definedName>
    <definedName name="나나" localSheetId="17">BlankMacro1</definedName>
    <definedName name="나박카스" localSheetId="23">'가로등 (2)'!나박카스</definedName>
    <definedName name="나박카스" localSheetId="31">'고재산출(STS)'!나박카스</definedName>
    <definedName name="나박카스" localSheetId="17">'표지4-'!나박카스</definedName>
    <definedName name="나ㅏㅓ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localSheetId="45" hidden="1">{"'단계별시설공사비'!$A$3:$K$51"}</definedName>
    <definedName name="낙찰내역" hidden="1">{"'단계별시설공사비'!$A$3:$K$51"}</definedName>
    <definedName name="남덕" localSheetId="23">BlankMacro1</definedName>
    <definedName name="남덕" localSheetId="45">BlankMacro1</definedName>
    <definedName name="남덕" localSheetId="31">BlankMacro1</definedName>
    <definedName name="남덕" localSheetId="38">BlankMacro1</definedName>
    <definedName name="남덕" localSheetId="18">BlankMacro1</definedName>
    <definedName name="남덕" localSheetId="22">BlankMacro1</definedName>
    <definedName name="남덕" localSheetId="17">BlankMacro1</definedName>
    <definedName name="남덕1" localSheetId="23">BlankMacro1</definedName>
    <definedName name="남덕1" localSheetId="17">BlankMacro1</definedName>
    <definedName name="남산내역" localSheetId="23">BlankMacro1</definedName>
    <definedName name="남산내역" localSheetId="17">BlankMacro1</definedName>
    <definedName name="내당" localSheetId="23">BlankMacro1</definedName>
    <definedName name="내당" localSheetId="31">BlankMacro1</definedName>
    <definedName name="내당" localSheetId="17">BlankMacro1</definedName>
    <definedName name="내역샘플" localSheetId="23">BlankMacro1</definedName>
    <definedName name="내역샘플" localSheetId="17">BlankMacro1</definedName>
    <definedName name="내역서다" localSheetId="23">BlankMacro1</definedName>
    <definedName name="내역서다" localSheetId="17">BlankMacro1</definedName>
    <definedName name="내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경" localSheetId="23">#REF!</definedName>
    <definedName name="勞務費" localSheetId="23">#REF!</definedName>
    <definedName name="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ㄱ" localSheetId="33" hidden="1">#REF!</definedName>
    <definedName name="ㄷㄱ" localSheetId="7" hidden="1">#REF!</definedName>
    <definedName name="ㄷㄱ" localSheetId="48" hidden="1">#REF!</definedName>
    <definedName name="ㄷㄱ" localSheetId="32" hidden="1">#REF!</definedName>
    <definedName name="ㄷㄱ" hidden="1">#REF!</definedName>
    <definedName name="ㄷㄱㄷㄱ" localSheetId="23">BlankMacro1</definedName>
    <definedName name="ㄷㄱㄷㄱ" localSheetId="17">BlankMacro1</definedName>
    <definedName name="ㄷㄷ" localSheetId="33" hidden="1">#REF!</definedName>
    <definedName name="ㄷㄷ" localSheetId="7" hidden="1">#REF!</definedName>
    <definedName name="ㄷㄷ" localSheetId="48" hidden="1">#REF!</definedName>
    <definedName name="ㄷㄷ" localSheetId="32" hidden="1">#REF!</definedName>
    <definedName name="ㄷㄷ" hidden="1">#REF!</definedName>
    <definedName name="ㄷㄷㄷ" localSheetId="33" hidden="1">#REF!</definedName>
    <definedName name="ㄷㄷㄷ" localSheetId="7" hidden="1">#REF!</definedName>
    <definedName name="ㄷㄷㄷ" localSheetId="48" hidden="1">#REF!</definedName>
    <definedName name="ㄷㄷㄷ" localSheetId="32" hidden="1">#REF!</definedName>
    <definedName name="ㄷㄷㄷ" hidden="1">#REF!</definedName>
    <definedName name="ㄷㄷㄷㄷㄷㄷ" localSheetId="23">BlankMacro1</definedName>
    <definedName name="ㄷㄷㄷㄷㄷㄷ" localSheetId="45">BlankMacro1</definedName>
    <definedName name="ㄷㄷㄷㄷㄷㄷ" localSheetId="31">BlankMacro1</definedName>
    <definedName name="ㄷㄷㄷㄷㄷㄷ" localSheetId="38">BlankMacro1</definedName>
    <definedName name="ㄷㄷㄷㄷㄷㄷ" localSheetId="18">BlankMacro1</definedName>
    <definedName name="ㄷㄷㄷㄷㄷㄷ" localSheetId="22">BlankMacro1</definedName>
    <definedName name="ㄷㄷㄷㄷㄷㄷ" localSheetId="17">BlankMacro1</definedName>
    <definedName name="다" localSheetId="23">BlankMacro1</definedName>
    <definedName name="다" localSheetId="45">BlankMacro1</definedName>
    <definedName name="다" localSheetId="31">BlankMacro1</definedName>
    <definedName name="다" localSheetId="38">BlankMacro1</definedName>
    <definedName name="다" localSheetId="18">BlankMacro1</definedName>
    <definedName name="다" localSheetId="22">BlankMacro1</definedName>
    <definedName name="다" localSheetId="17">BlankMacro1</definedName>
    <definedName name="다하" localSheetId="23">BlankMacro1</definedName>
    <definedName name="다하" localSheetId="17">BlankMacro1</definedName>
    <definedName name="단_가" localSheetId="23">#REF!</definedName>
    <definedName name="단_가" localSheetId="45">#REF!</definedName>
    <definedName name="단_가" localSheetId="31">#REF!</definedName>
    <definedName name="단_가" localSheetId="38">#REF!</definedName>
    <definedName name="단_가" localSheetId="18">#REF!</definedName>
    <definedName name="단_가" localSheetId="22">#REF!</definedName>
    <definedName name="단_가2" localSheetId="23">#REF!</definedName>
    <definedName name="단_가2" localSheetId="45">#REF!</definedName>
    <definedName name="단_가2" localSheetId="31">#REF!</definedName>
    <definedName name="단_가2" localSheetId="38">#REF!</definedName>
    <definedName name="단_가2" localSheetId="18">#REF!</definedName>
    <definedName name="단_가2" localSheetId="22">#REF!</definedName>
    <definedName name="단_가3" localSheetId="23">#REF!</definedName>
    <definedName name="단_가3" localSheetId="45">#REF!</definedName>
    <definedName name="단_가3" localSheetId="31">#REF!</definedName>
    <definedName name="단_가3" localSheetId="38">#REF!</definedName>
    <definedName name="단_가3" localSheetId="18">#REF!</definedName>
    <definedName name="단_가3" localSheetId="22">#REF!</definedName>
    <definedName name="단_가4" localSheetId="23">#REF!</definedName>
    <definedName name="단_가4" localSheetId="45">#REF!</definedName>
    <definedName name="단_가4" localSheetId="31">#REF!</definedName>
    <definedName name="단_가4" localSheetId="38">#REF!</definedName>
    <definedName name="단_가4" localSheetId="18">#REF!</definedName>
    <definedName name="단_가4" localSheetId="22">#REF!</definedName>
    <definedName name="단_가5" localSheetId="23">#REF!</definedName>
    <definedName name="단_가5" localSheetId="45">#REF!</definedName>
    <definedName name="단_가5" localSheetId="31">#REF!</definedName>
    <definedName name="단_가5" localSheetId="38">#REF!</definedName>
    <definedName name="단_가5" localSheetId="18">#REF!</definedName>
    <definedName name="단_가5" localSheetId="22">#REF!</definedName>
    <definedName name="단_가6" localSheetId="23">#REF!</definedName>
    <definedName name="단_가6" localSheetId="45">#REF!</definedName>
    <definedName name="단_가6" localSheetId="31">#REF!</definedName>
    <definedName name="단_가6" localSheetId="38">#REF!</definedName>
    <definedName name="단_가6" localSheetId="18">#REF!</definedName>
    <definedName name="단_가6" localSheetId="22">#REF!</definedName>
    <definedName name="단가조사자료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위공량1" localSheetId="23">#REF!</definedName>
    <definedName name="단위공량1" localSheetId="45">#REF!</definedName>
    <definedName name="단위공량1" localSheetId="31">#REF!</definedName>
    <definedName name="단위공량1" localSheetId="38">#REF!</definedName>
    <definedName name="단위공량1" localSheetId="18">#REF!</definedName>
    <definedName name="단위공량1" localSheetId="22">#REF!</definedName>
    <definedName name="단위공량10" localSheetId="23">#REF!</definedName>
    <definedName name="단위공량10" localSheetId="45">#REF!</definedName>
    <definedName name="단위공량10" localSheetId="31">#REF!</definedName>
    <definedName name="단위공량10" localSheetId="38">#REF!</definedName>
    <definedName name="단위공량10" localSheetId="18">#REF!</definedName>
    <definedName name="단위공량10" localSheetId="22">#REF!</definedName>
    <definedName name="단위공량11" localSheetId="23">#REF!</definedName>
    <definedName name="단위공량11" localSheetId="45">#REF!</definedName>
    <definedName name="단위공량11" localSheetId="31">#REF!</definedName>
    <definedName name="단위공량11" localSheetId="38">#REF!</definedName>
    <definedName name="단위공량11" localSheetId="18">#REF!</definedName>
    <definedName name="단위공량11" localSheetId="22">#REF!</definedName>
    <definedName name="단위공량12" localSheetId="23">#REF!</definedName>
    <definedName name="단위공량12" localSheetId="45">#REF!</definedName>
    <definedName name="단위공량12" localSheetId="31">#REF!</definedName>
    <definedName name="단위공량12" localSheetId="38">#REF!</definedName>
    <definedName name="단위공량12" localSheetId="18">#REF!</definedName>
    <definedName name="단위공량12" localSheetId="22">#REF!</definedName>
    <definedName name="단위공량13" localSheetId="23">#REF!</definedName>
    <definedName name="단위공량13" localSheetId="45">#REF!</definedName>
    <definedName name="단위공량13" localSheetId="31">#REF!</definedName>
    <definedName name="단위공량13" localSheetId="38">#REF!</definedName>
    <definedName name="단위공량13" localSheetId="18">#REF!</definedName>
    <definedName name="단위공량13" localSheetId="22">#REF!</definedName>
    <definedName name="단위공량14" localSheetId="23">#REF!</definedName>
    <definedName name="단위공량14" localSheetId="45">#REF!</definedName>
    <definedName name="단위공량14" localSheetId="31">#REF!</definedName>
    <definedName name="단위공량14" localSheetId="38">#REF!</definedName>
    <definedName name="단위공량14" localSheetId="18">#REF!</definedName>
    <definedName name="단위공량14" localSheetId="22">#REF!</definedName>
    <definedName name="단위공량15" localSheetId="23">#REF!</definedName>
    <definedName name="단위공량15" localSheetId="45">#REF!</definedName>
    <definedName name="단위공량15" localSheetId="31">#REF!</definedName>
    <definedName name="단위공량15" localSheetId="38">#REF!</definedName>
    <definedName name="단위공량15" localSheetId="18">#REF!</definedName>
    <definedName name="단위공량15" localSheetId="22">#REF!</definedName>
    <definedName name="단위공량16" localSheetId="23">#REF!</definedName>
    <definedName name="단위공량16" localSheetId="45">#REF!</definedName>
    <definedName name="단위공량16" localSheetId="31">#REF!</definedName>
    <definedName name="단위공량16" localSheetId="38">#REF!</definedName>
    <definedName name="단위공량16" localSheetId="18">#REF!</definedName>
    <definedName name="단위공량16" localSheetId="22">#REF!</definedName>
    <definedName name="단위공량17" localSheetId="23">#REF!</definedName>
    <definedName name="단위공량17" localSheetId="45">#REF!</definedName>
    <definedName name="단위공량17" localSheetId="31">#REF!</definedName>
    <definedName name="단위공량17" localSheetId="38">#REF!</definedName>
    <definedName name="단위공량17" localSheetId="18">#REF!</definedName>
    <definedName name="단위공량17" localSheetId="22">#REF!</definedName>
    <definedName name="단위공량2" localSheetId="23">#REF!</definedName>
    <definedName name="단위공량2" localSheetId="45">#REF!</definedName>
    <definedName name="단위공량2" localSheetId="31">#REF!</definedName>
    <definedName name="단위공량2" localSheetId="38">#REF!</definedName>
    <definedName name="단위공량2" localSheetId="18">#REF!</definedName>
    <definedName name="단위공량2" localSheetId="22">#REF!</definedName>
    <definedName name="단위공량3" localSheetId="23">#REF!</definedName>
    <definedName name="단위공량3" localSheetId="45">#REF!</definedName>
    <definedName name="단위공량3" localSheetId="31">#REF!</definedName>
    <definedName name="단위공량3" localSheetId="38">#REF!</definedName>
    <definedName name="단위공량3" localSheetId="18">#REF!</definedName>
    <definedName name="단위공량3" localSheetId="22">#REF!</definedName>
    <definedName name="단위공량4" localSheetId="23">#REF!</definedName>
    <definedName name="단위공량4" localSheetId="45">#REF!</definedName>
    <definedName name="단위공량4" localSheetId="31">#REF!</definedName>
    <definedName name="단위공량4" localSheetId="38">#REF!</definedName>
    <definedName name="단위공량4" localSheetId="18">#REF!</definedName>
    <definedName name="단위공량4" localSheetId="22">#REF!</definedName>
    <definedName name="단위공량5" localSheetId="23">#REF!</definedName>
    <definedName name="단위공량5" localSheetId="45">#REF!</definedName>
    <definedName name="단위공량5" localSheetId="31">#REF!</definedName>
    <definedName name="단위공량5" localSheetId="38">#REF!</definedName>
    <definedName name="단위공량5" localSheetId="18">#REF!</definedName>
    <definedName name="단위공량5" localSheetId="22">#REF!</definedName>
    <definedName name="단위공량6" localSheetId="23">#REF!</definedName>
    <definedName name="단위공량6" localSheetId="45">#REF!</definedName>
    <definedName name="단위공량6" localSheetId="31">#REF!</definedName>
    <definedName name="단위공량6" localSheetId="38">#REF!</definedName>
    <definedName name="단위공량6" localSheetId="18">#REF!</definedName>
    <definedName name="단위공량6" localSheetId="22">#REF!</definedName>
    <definedName name="단위공량7" localSheetId="23">#REF!</definedName>
    <definedName name="단위공량7" localSheetId="45">#REF!</definedName>
    <definedName name="단위공량7" localSheetId="31">#REF!</definedName>
    <definedName name="단위공량7" localSheetId="38">#REF!</definedName>
    <definedName name="단위공량7" localSheetId="18">#REF!</definedName>
    <definedName name="단위공량7" localSheetId="22">#REF!</definedName>
    <definedName name="단위공량8" localSheetId="23">#REF!</definedName>
    <definedName name="단위공량8" localSheetId="45">#REF!</definedName>
    <definedName name="단위공량8" localSheetId="31">#REF!</definedName>
    <definedName name="단위공량8" localSheetId="38">#REF!</definedName>
    <definedName name="단위공량8" localSheetId="18">#REF!</definedName>
    <definedName name="단위공량8" localSheetId="22">#REF!</definedName>
    <definedName name="단위공량9" localSheetId="23">#REF!</definedName>
    <definedName name="단위공량9" localSheetId="45">#REF!</definedName>
    <definedName name="단위공량9" localSheetId="31">#REF!</definedName>
    <definedName name="단위공량9" localSheetId="38">#REF!</definedName>
    <definedName name="단위공량9" localSheetId="18">#REF!</definedName>
    <definedName name="단위공량9" localSheetId="22">#REF!</definedName>
    <definedName name="당경" localSheetId="23">#REF!</definedName>
    <definedName name="당계" localSheetId="23">#REF!</definedName>
    <definedName name="당노" localSheetId="23">#REF!</definedName>
    <definedName name="당단" localSheetId="23">#REF!</definedName>
    <definedName name="당수" localSheetId="23">#REF!</definedName>
    <definedName name="당재" localSheetId="23">#REF!</definedName>
    <definedName name="대관" localSheetId="23">BlankMacro1</definedName>
    <definedName name="대관" localSheetId="31">BlankMacro1</definedName>
    <definedName name="대관" localSheetId="17">BlankMacro1</definedName>
    <definedName name="대구공항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남" localSheetId="23">BlankMacro1</definedName>
    <definedName name="대남" localSheetId="31">BlankMacro1</definedName>
    <definedName name="대남" localSheetId="17">BlankMacro1</definedName>
    <definedName name="대명" localSheetId="23">BlankMacro1</definedName>
    <definedName name="대명" localSheetId="31">BlankMacro1</definedName>
    <definedName name="대명" localSheetId="17">BlankMacro1</definedName>
    <definedName name="도급공사" localSheetId="45">#REF!</definedName>
    <definedName name="도급공사" localSheetId="31">#REF!</definedName>
    <definedName name="도급공사" localSheetId="38">#REF!</definedName>
    <definedName name="도급공사" localSheetId="18">#REF!</definedName>
    <definedName name="도급단가" localSheetId="18">#REF!</definedName>
    <definedName name="도급단가" localSheetId="22">#REF!</definedName>
    <definedName name="도급예산액" localSheetId="45">#REF!</definedName>
    <definedName name="도급예산액" localSheetId="31">#REF!</definedName>
    <definedName name="도급예산액" localSheetId="38">#REF!</definedName>
    <definedName name="도급예산액" localSheetId="18">#REF!</definedName>
    <definedName name="도급예상액" localSheetId="45">#REF!</definedName>
    <definedName name="도급예상액" localSheetId="31">#REF!</definedName>
    <definedName name="도급예상액" localSheetId="38">#REF!</definedName>
    <definedName name="도급예상액" localSheetId="18">#REF!</definedName>
    <definedName name="도라" localSheetId="23">BlankMacro1</definedName>
    <definedName name="도라" localSheetId="17">BlankMacro1</definedName>
    <definedName name="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원" localSheetId="23">BlankMacro1</definedName>
    <definedName name="도원" localSheetId="31">BlankMacro1</definedName>
    <definedName name="도원" localSheetId="17">BlankMacro1</definedName>
    <definedName name="동별내역" localSheetId="23">#REF!</definedName>
    <definedName name="동별설계" localSheetId="23">#REF!</definedName>
    <definedName name="ㄹㄹㄹ" localSheetId="33" hidden="1">#REF!</definedName>
    <definedName name="ㄹㄹㄹ" localSheetId="7" hidden="1">#REF!</definedName>
    <definedName name="ㄹㄹㄹ" localSheetId="0" hidden="1">#REF!</definedName>
    <definedName name="ㄹㄹㄹ" localSheetId="9" hidden="1">#REF!</definedName>
    <definedName name="ㄹㄹㄹ" localSheetId="19" hidden="1">#REF!</definedName>
    <definedName name="ㄹㄹㄹ" localSheetId="21" hidden="1">#REF!</definedName>
    <definedName name="ㄹㄹㄹ" localSheetId="17" hidden="1">#REF!</definedName>
    <definedName name="ㄹㄹㄹ" localSheetId="46" hidden="1">#REF!</definedName>
    <definedName name="ㄹㄹㄹ" localSheetId="48" hidden="1">#REF!</definedName>
    <definedName name="ㄹㄹㄹ" localSheetId="32" hidden="1">#REF!</definedName>
    <definedName name="ㄹㄹㄹ" hidden="1">#REF!</definedName>
    <definedName name="ㄹㄹㅇㄴ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ㅇㄹ" localSheetId="23">BlankMacro1</definedName>
    <definedName name="ㄹㅇㄴㄹㄴㅇㄹ" localSheetId="17">BlankMacro1</definedName>
    <definedName name="ㄹㅇㄴㄹㅇㄴㄹㅇ" localSheetId="23">BlankMacro1</definedName>
    <definedName name="ㄹㅇㄴㄹㅇㄴㄹㅇ" localSheetId="17">BlankMacro1</definedName>
    <definedName name="ㄹㅇㄷㄱ" localSheetId="23">BlankMacro1</definedName>
    <definedName name="ㄹㅇㄷㄱ" localSheetId="17">BlankMacro1</definedName>
    <definedName name="ㄹㅇㄹㅇ" localSheetId="33" hidden="1">#REF!</definedName>
    <definedName name="ㄹㅇㄹㅇ" localSheetId="7" hidden="1">#REF!</definedName>
    <definedName name="ㄹㅇㄹㅇ" localSheetId="48" hidden="1">#REF!</definedName>
    <definedName name="ㄹㅇㄹㅇ" localSheetId="32" hidden="1">#REF!</definedName>
    <definedName name="ㄹㅇㄹㅇ" hidden="1">#REF!</definedName>
    <definedName name="ㄹㅇㅊㅌㅊ" localSheetId="23">#REF!</definedName>
    <definedName name="ㄹㅇㅎㄹㅇㅎ" localSheetId="23">'가로등 (2)'!ㄹㅇㅎㄹㅇㅎ</definedName>
    <definedName name="ㄹㅇㅎㄹㅇㅎ" localSheetId="31">'고재산출(STS)'!ㄹㅇㅎㄹㅇㅎ</definedName>
    <definedName name="ㄹㅇㅎㄹㅇㅎ" localSheetId="17">'표지4-'!ㄹㅇㅎㄹㅇㅎ</definedName>
    <definedName name="ㄹ호" localSheetId="33" hidden="1">#REF!</definedName>
    <definedName name="ㄹ호" localSheetId="7" hidden="1">#REF!</definedName>
    <definedName name="ㄹ호" localSheetId="48" hidden="1">#REF!</definedName>
    <definedName name="ㄹ호" localSheetId="32" hidden="1">#REF!</definedName>
    <definedName name="ㄹ호" hidden="1">#REF!</definedName>
    <definedName name="라" localSheetId="23">BlankMacro1</definedName>
    <definedName name="라" localSheetId="45">BlankMacro1</definedName>
    <definedName name="라" localSheetId="31">BlankMacro1</definedName>
    <definedName name="라" localSheetId="38">BlankMacro1</definedName>
    <definedName name="라" localSheetId="18">BlankMacro1</definedName>
    <definedName name="라" localSheetId="22">BlankMacro1</definedName>
    <definedName name="라" localSheetId="17">BlankMacro1</definedName>
    <definedName name="라라" localSheetId="23">BlankMacro1</definedName>
    <definedName name="라라" localSheetId="17">BlankMacro1</definedName>
    <definedName name="라랄" localSheetId="23">BlankMacro1</definedName>
    <definedName name="라랄" localSheetId="17">BlankMacro1</definedName>
    <definedName name="라사" localSheetId="23">BlankMacro1</definedName>
    <definedName name="라사" localSheetId="17">BlankMacro1</definedName>
    <definedName name="라인" localSheetId="23">BlankMacro1</definedName>
    <definedName name="라인" localSheetId="17">BlankMacro1</definedName>
    <definedName name="라호" localSheetId="23">BlankMacro1</definedName>
    <definedName name="라호" localSheetId="17">BlankMacro1</definedName>
    <definedName name="라ㅓ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로" localSheetId="23">BlankMacro1</definedName>
    <definedName name="로로" localSheetId="17">BlankMacro1</definedName>
    <definedName name="로사" localSheetId="23">BlankMacro1</definedName>
    <definedName name="로사" localSheetId="17">BlankMacro1</definedName>
    <definedName name="로아" localSheetId="23">BlankMacro1</definedName>
    <definedName name="로아" localSheetId="17">BlankMacro1</definedName>
    <definedName name="롤로" localSheetId="23">BlankMacro1</definedName>
    <definedName name="롤로" localSheetId="17">BlankMacro1</definedName>
    <definedName name="ㄺㄱ" localSheetId="23">BlankMacro1</definedName>
    <definedName name="ㄺㄱ" localSheetId="17">BlankMacro1</definedName>
    <definedName name="ㄺㄷㅇ" localSheetId="23">BlankMacro1</definedName>
    <definedName name="ㄺㄷㅇ" localSheetId="17">BlankMacro1</definedName>
    <definedName name="ㅀㄳ" localSheetId="23">BlankMacro1</definedName>
    <definedName name="ㅀㄳ" localSheetId="17">BlankMacro1</definedName>
    <definedName name="ㅁ1" localSheetId="18">#REF!</definedName>
    <definedName name="ㅁ1" localSheetId="22">#REF!</definedName>
    <definedName name="ㅁ1144" localSheetId="23">#REF!</definedName>
    <definedName name="ㅁ222" localSheetId="18">#REF!</definedName>
    <definedName name="ㅁ222" localSheetId="22">#REF!</definedName>
    <definedName name="ㅁ331" localSheetId="23">#REF!</definedName>
    <definedName name="ㅁㄴㅇ" localSheetId="23">#REF!</definedName>
    <definedName name="ㅁㄴㅇㄻㄴㅇㄻㄴㄹ" localSheetId="45" hidden="1">{#N/A,#N/A,FALSE,"명세표"}</definedName>
    <definedName name="ㅁㄴㅇㄻㄴㅇㄻㄴㄹ" hidden="1">{#N/A,#N/A,FALSE,"명세표"}</definedName>
    <definedName name="ㅁㄴㅇㅀ" localSheetId="23">'가로등 (2)'!ㅁㄴㅇㅀ</definedName>
    <definedName name="ㅁㄴㅇㅀ" localSheetId="31">'고재산출(STS)'!ㅁㄴㅇㅀ</definedName>
    <definedName name="ㅁㄴㅇㅀ" localSheetId="17">'표지4-'!ㅁㄴㅇㅀ</definedName>
    <definedName name="ㅁㄹ홍ㄴ" localSheetId="23">#REF!</definedName>
    <definedName name="ㅁㅁ" localSheetId="3" hidden="1">#REF!</definedName>
    <definedName name="ㅁㅅㅅㅁㄱㅈ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" localSheetId="23">BlankMacro1</definedName>
    <definedName name="마" localSheetId="45">BlankMacro1</definedName>
    <definedName name="마" localSheetId="31">BlankMacro1</definedName>
    <definedName name="마" localSheetId="38">BlankMacro1</definedName>
    <definedName name="마" localSheetId="18">BlankMacro1</definedName>
    <definedName name="마" localSheetId="22">BlankMacro1</definedName>
    <definedName name="마" localSheetId="17">BlankMacro1</definedName>
    <definedName name="말" localSheetId="23">BlankMacro1</definedName>
    <definedName name="말" localSheetId="45">BlankMacro1</definedName>
    <definedName name="말" localSheetId="31">BlankMacro1</definedName>
    <definedName name="말" localSheetId="38">BlankMacro1</definedName>
    <definedName name="말" localSheetId="18">BlankMacro1</definedName>
    <definedName name="말" localSheetId="22">BlankMacro1</definedName>
    <definedName name="말" localSheetId="17">BlankMacro1</definedName>
    <definedName name="물가변동내역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범위" localSheetId="23">#REF!</definedName>
    <definedName name="미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리보기" localSheetId="23">'가로등 (2)'!미리보기</definedName>
    <definedName name="미리보기" localSheetId="31">'고재산출(STS)'!미리보기</definedName>
    <definedName name="미리보기" localSheetId="17">'표지4-'!미리보기</definedName>
    <definedName name="미장" localSheetId="23">#REF!</definedName>
    <definedName name="ㅂㅁㅌㅊ" localSheetId="23">BlankMacro1</definedName>
    <definedName name="ㅂㅁㅌㅊ" localSheetId="17">BlankMacro1</definedName>
    <definedName name="ㅂㅂ" localSheetId="23" hidden="1">{#N/A,#N/A,FALSE,"표지"}</definedName>
    <definedName name="ㅂㅂ" localSheetId="45" hidden="1">{#N/A,#N/A,FALSE,"표지"}</definedName>
    <definedName name="ㅂㅂ" localSheetId="31" hidden="1">{#N/A,#N/A,FALSE,"표지"}</definedName>
    <definedName name="ㅂㅂ" localSheetId="15" hidden="1">{#N/A,#N/A,FALSE,"표지"}</definedName>
    <definedName name="ㅂㅂ" localSheetId="3" hidden="1">{#N/A,#N/A,FALSE,"표지"}</definedName>
    <definedName name="ㅂㅂ" localSheetId="14" hidden="1">{#N/A,#N/A,FALSE,"표지"}</definedName>
    <definedName name="ㅂㅂ" localSheetId="17" hidden="1">{#N/A,#N/A,FALSE,"표지"}</definedName>
    <definedName name="ㅂㅂ" hidden="1">{#N/A,#N/A,FALSE,"표지"}</definedName>
    <definedName name="ㅂㅂㅂㅂ" localSheetId="23">BlankMacro1</definedName>
    <definedName name="ㅂㅂㅂㅂ" localSheetId="17">BlankMacro1</definedName>
    <definedName name="ㅂㅂㅂㅂㅂㅂㅂㅂ" localSheetId="33" hidden="1">#REF!</definedName>
    <definedName name="ㅂㅂㅂㅂㅂㅂㅂㅂ" localSheetId="7" hidden="1">#REF!</definedName>
    <definedName name="ㅂㅂㅂㅂㅂㅂㅂㅂ" localSheetId="48" hidden="1">#REF!</definedName>
    <definedName name="ㅂㅂㅂㅂㅂㅂㅂㅂ" localSheetId="32" hidden="1">#REF!</definedName>
    <definedName name="ㅂㅂㅂㅂㅂㅂㅂㅂ" hidden="1">#REF!</definedName>
    <definedName name="ㅂㅈ" localSheetId="23" hidden="1">{#N/A,#N/A,TRUE,"1";#N/A,#N/A,TRUE,"2";#N/A,#N/A,TRUE,"3";#N/A,#N/A,TRUE,"4";#N/A,#N/A,TRUE,"5";#N/A,#N/A,TRUE,"6";#N/A,#N/A,TRUE,"7"}</definedName>
    <definedName name="ㅂㅈ" localSheetId="45" hidden="1">{#N/A,#N/A,TRUE,"1";#N/A,#N/A,TRUE,"2";#N/A,#N/A,TRUE,"3";#N/A,#N/A,TRUE,"4";#N/A,#N/A,TRUE,"5";#N/A,#N/A,TRUE,"6";#N/A,#N/A,TRUE,"7"}</definedName>
    <definedName name="ㅂㅈ" localSheetId="31" hidden="1">{#N/A,#N/A,TRUE,"1";#N/A,#N/A,TRUE,"2";#N/A,#N/A,TRUE,"3";#N/A,#N/A,TRUE,"4";#N/A,#N/A,TRUE,"5";#N/A,#N/A,TRUE,"6";#N/A,#N/A,TRUE,"7"}</definedName>
    <definedName name="ㅂㅈ" localSheetId="15" hidden="1">{#N/A,#N/A,TRUE,"1";#N/A,#N/A,TRUE,"2";#N/A,#N/A,TRUE,"3";#N/A,#N/A,TRUE,"4";#N/A,#N/A,TRUE,"5";#N/A,#N/A,TRUE,"6";#N/A,#N/A,TRUE,"7"}</definedName>
    <definedName name="ㅂㅈ" localSheetId="3" hidden="1">{#N/A,#N/A,TRUE,"1";#N/A,#N/A,TRUE,"2";#N/A,#N/A,TRUE,"3";#N/A,#N/A,TRUE,"4";#N/A,#N/A,TRUE,"5";#N/A,#N/A,TRUE,"6";#N/A,#N/A,TRUE,"7"}</definedName>
    <definedName name="ㅂㅈ" localSheetId="14" hidden="1">{#N/A,#N/A,TRUE,"1";#N/A,#N/A,TRUE,"2";#N/A,#N/A,TRUE,"3";#N/A,#N/A,TRUE,"4";#N/A,#N/A,TRUE,"5";#N/A,#N/A,TRUE,"6";#N/A,#N/A,TRUE,"7"}</definedName>
    <definedName name="ㅂㅈ" localSheetId="17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ㅈㄷㄴ" localSheetId="22">#REF!</definedName>
    <definedName name="바" localSheetId="23">BlankMacro1</definedName>
    <definedName name="바" localSheetId="45">BlankMacro1</definedName>
    <definedName name="바" localSheetId="31">BlankMacro1</definedName>
    <definedName name="바" localSheetId="38">BlankMacro1</definedName>
    <definedName name="바" localSheetId="18">BlankMacro1</definedName>
    <definedName name="바" localSheetId="22">BlankMacro1</definedName>
    <definedName name="바" localSheetId="17">BlankMacro1</definedName>
    <definedName name="바보야" localSheetId="23">BlankMacro1</definedName>
    <definedName name="바보야" localSheetId="17">BlankMacro1</definedName>
    <definedName name="박상운" localSheetId="23">#REF!</definedName>
    <definedName name="박은하" localSheetId="23">Dlog_Show</definedName>
    <definedName name="박은하" localSheetId="31">Dlog_Show</definedName>
    <definedName name="박은하" localSheetId="17">Dlog_Show</definedName>
    <definedName name="박창수" localSheetId="23" hidden="1">{#N/A,#N/A,FALSE,"표지"}</definedName>
    <definedName name="박창수" localSheetId="45" hidden="1">{#N/A,#N/A,FALSE,"표지"}</definedName>
    <definedName name="박창수" localSheetId="31" hidden="1">{#N/A,#N/A,FALSE,"표지"}</definedName>
    <definedName name="박창수" localSheetId="15" hidden="1">{#N/A,#N/A,FALSE,"표지"}</definedName>
    <definedName name="박창수" localSheetId="3" hidden="1">{#N/A,#N/A,FALSE,"표지"}</definedName>
    <definedName name="박창수" localSheetId="14" hidden="1">{#N/A,#N/A,FALSE,"표지"}</definedName>
    <definedName name="박창수" localSheetId="17" hidden="1">{#N/A,#N/A,FALSE,"표지"}</definedName>
    <definedName name="박창수" hidden="1">{#N/A,#N/A,FALSE,"표지"}</definedName>
    <definedName name="반여수량" localSheetId="18">#REF!</definedName>
    <definedName name="반여수량" localSheetId="22">#REF!</definedName>
    <definedName name="방류펌프" localSheetId="18">#REF!</definedName>
    <definedName name="방류펌프" localSheetId="22">#REF!</definedName>
    <definedName name="방송" localSheetId="23">BlankMacro1</definedName>
    <definedName name="방송" localSheetId="45">BlankMacro1</definedName>
    <definedName name="방송" localSheetId="31">BlankMacro1</definedName>
    <definedName name="방송" localSheetId="38">BlankMacro1</definedName>
    <definedName name="방송" localSheetId="18">BlankMacro1</definedName>
    <definedName name="방송" localSheetId="22">BlankMacro1</definedName>
    <definedName name="방송" localSheetId="17">BlankMacro1</definedName>
    <definedName name="배관" localSheetId="24">'1-3.본관소화기(산)'!#REF!</definedName>
    <definedName name="배관" localSheetId="20">'3.사회과학관(산)'!#REF!</definedName>
    <definedName name="배관값" localSheetId="24">'1-3.본관소화기(산)'!#REF!</definedName>
    <definedName name="배관값" localSheetId="20">'3.사회과학관(산)'!#REF!</definedName>
    <definedName name="백" localSheetId="23">'가로등 (2)'!백</definedName>
    <definedName name="백" localSheetId="31">'고재산출(STS)'!백</definedName>
    <definedName name="백" localSheetId="17">'표지4-'!백</definedName>
    <definedName name="범위" localSheetId="23">#REF!</definedName>
    <definedName name="변경" localSheetId="23">#REF!</definedName>
    <definedName name="변계" localSheetId="23">#REF!</definedName>
    <definedName name="변노" localSheetId="23">#REF!</definedName>
    <definedName name="변수" localSheetId="23">#REF!</definedName>
    <definedName name="변재" localSheetId="23">#REF!</definedName>
    <definedName name="보오링그라우팅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일러" localSheetId="23">BlankMacro1</definedName>
    <definedName name="보일러" localSheetId="17">BlankMacro1</definedName>
    <definedName name="보조간선" localSheetId="24">'1-3.본관소화기(산)'!#REF!</definedName>
    <definedName name="보조간선" localSheetId="20">'3.사회과학관(산)'!#REF!</definedName>
    <definedName name="보조간선값" localSheetId="24">'1-3.본관소화기(산)'!#REF!</definedName>
    <definedName name="보조간선값" localSheetId="20">'3.사회과학관(산)'!#REF!</definedName>
    <definedName name="부가" localSheetId="23">#REF!</definedName>
    <definedName name="부가가치세" localSheetId="45">#REF!</definedName>
    <definedName name="부가가치세" localSheetId="31">#REF!</definedName>
    <definedName name="부가가치세" localSheetId="38">#REF!</definedName>
    <definedName name="부가가치세" localSheetId="18">#REF!</definedName>
    <definedName name="附加價値稅" localSheetId="23">#REF!</definedName>
    <definedName name="부가세" localSheetId="23">#REF!</definedName>
    <definedName name="부대원본" localSheetId="23" hidden="1">{#N/A,#N/A,FALSE,"토공2"}</definedName>
    <definedName name="부대원본" localSheetId="45" hidden="1">{#N/A,#N/A,FALSE,"토공2"}</definedName>
    <definedName name="부대원본" localSheetId="31" hidden="1">{#N/A,#N/A,FALSE,"토공2"}</definedName>
    <definedName name="부대원본" localSheetId="15" hidden="1">{#N/A,#N/A,FALSE,"토공2"}</definedName>
    <definedName name="부대원본" localSheetId="3" hidden="1">{#N/A,#N/A,FALSE,"토공2"}</definedName>
    <definedName name="부대원본" localSheetId="14" hidden="1">{#N/A,#N/A,FALSE,"토공2"}</definedName>
    <definedName name="부대원본" localSheetId="17" hidden="1">{#N/A,#N/A,FALSE,"토공2"}</definedName>
    <definedName name="부대원본" hidden="1">{#N/A,#N/A,FALSE,"토공2"}</definedName>
    <definedName name="부대입찰잡비" localSheetId="23">Dlog_Show</definedName>
    <definedName name="부대입찰잡비" localSheetId="31">Dlog_Show</definedName>
    <definedName name="부대입찰잡비" localSheetId="17">Dlog_Show</definedName>
    <definedName name="부산주경기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토" localSheetId="23">Dlog_Show</definedName>
    <definedName name="부토" localSheetId="31">Dlog_Show</definedName>
    <definedName name="부토" localSheetId="17">Dlog_Show</definedName>
    <definedName name="분야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23">BlankMacro1</definedName>
    <definedName name="분전반" localSheetId="45">BlankMacro1</definedName>
    <definedName name="분전반" localSheetId="31">BlankMacro1</definedName>
    <definedName name="분전반" localSheetId="38">BlankMacro1</definedName>
    <definedName name="분전반" localSheetId="18">BlankMacro1</definedName>
    <definedName name="분전반" localSheetId="22">BlankMacro1</definedName>
    <definedName name="분전반" localSheetId="17">BlankMacro1</definedName>
    <definedName name="분전반1" localSheetId="23">BlankMacro1</definedName>
    <definedName name="분전반1" localSheetId="45">BlankMacro1</definedName>
    <definedName name="분전반1" localSheetId="31">BlankMacro1</definedName>
    <definedName name="분전반1" localSheetId="38">BlankMacro1</definedName>
    <definedName name="분전반1" localSheetId="18">BlankMacro1</definedName>
    <definedName name="분전반1" localSheetId="22">BlankMacro1</definedName>
    <definedName name="분전반1" localSheetId="17">BlankMacro1</definedName>
    <definedName name="분전전" localSheetId="23">BlankMacro1</definedName>
    <definedName name="분전전" localSheetId="17">BlankMacro1</definedName>
    <definedName name="분전함일위1" localSheetId="23">BlankMacro1</definedName>
    <definedName name="분전함일위1" localSheetId="31">BlankMacro1</definedName>
    <definedName name="분전함일위1" localSheetId="17">BlankMacro1</definedName>
    <definedName name="비목출력" localSheetId="23">#REF!</definedName>
    <definedName name="빼기" localSheetId="23">'가로등 (2)'!빼기</definedName>
    <definedName name="빼기" localSheetId="31">'고재산출(STS)'!빼기</definedName>
    <definedName name="빼기" localSheetId="17">'표지4-'!빼기</definedName>
    <definedName name="ㅅ교" localSheetId="23">BlankMacro1</definedName>
    <definedName name="ㅅ교" localSheetId="17">BlankMacro1</definedName>
    <definedName name="ㅅㅅ" localSheetId="33" hidden="1">#REF!</definedName>
    <definedName name="ㅅㅅ" localSheetId="7" hidden="1">#REF!</definedName>
    <definedName name="ㅅㅅ" localSheetId="48" hidden="1">#REF!</definedName>
    <definedName name="ㅅㅅ" localSheetId="32" hidden="1">#REF!</definedName>
    <definedName name="ㅅㅅ" hidden="1">#REF!</definedName>
    <definedName name="ㅅㅅㅅㅅㅅㅅㅅㅅㅅㅅㅅㅅㅅㅅㅅㅅㅅㅅㅅㅅ" localSheetId="23">BlankMacro1</definedName>
    <definedName name="ㅅㅅㅅㅅㅅㅅㅅㅅㅅㅅㅅㅅㅅㅅㅅㅅㅅㅅㅅㅅ" localSheetId="17">BlankMacro1</definedName>
    <definedName name="ㅅㅅㅆㅆㅆ" localSheetId="23" hidden="1">{#N/A,#N/A,FALSE,"표지"}</definedName>
    <definedName name="ㅅㅅㅆㅆㅆ" localSheetId="45" hidden="1">{#N/A,#N/A,FALSE,"표지"}</definedName>
    <definedName name="ㅅㅅㅆㅆㅆ" localSheetId="31" hidden="1">{#N/A,#N/A,FALSE,"표지"}</definedName>
    <definedName name="ㅅㅅㅆㅆㅆ" localSheetId="15" hidden="1">{#N/A,#N/A,FALSE,"표지"}</definedName>
    <definedName name="ㅅㅅㅆㅆㅆ" localSheetId="3" hidden="1">{#N/A,#N/A,FALSE,"표지"}</definedName>
    <definedName name="ㅅㅅㅆㅆㅆ" localSheetId="14" hidden="1">{#N/A,#N/A,FALSE,"표지"}</definedName>
    <definedName name="ㅅㅅㅆㅆㅆ" localSheetId="17" hidden="1">{#N/A,#N/A,FALSE,"표지"}</definedName>
    <definedName name="ㅅㅅㅆㅆㅆ" hidden="1">{#N/A,#N/A,FALSE,"표지"}</definedName>
    <definedName name="ㅅ효" localSheetId="23">BlankMacro1</definedName>
    <definedName name="ㅅ효" localSheetId="17">BlankMacro1</definedName>
    <definedName name="사" localSheetId="23">BlankMacro1</definedName>
    <definedName name="사" localSheetId="45">BlankMacro1</definedName>
    <definedName name="사" localSheetId="31">BlankMacro1</definedName>
    <definedName name="사" localSheetId="38">BlankMacro1</definedName>
    <definedName name="사" localSheetId="18">BlankMacro1</definedName>
    <definedName name="사" localSheetId="22">BlankMacro1</definedName>
    <definedName name="사" localSheetId="17">BlankMacro1</definedName>
    <definedName name="사라" localSheetId="23">BlankMacro1</definedName>
    <definedName name="사라" localSheetId="17">BlankMacro1</definedName>
    <definedName name="사막" localSheetId="23">BlankMacro1</definedName>
    <definedName name="사막" localSheetId="17">BlankMacro1</definedName>
    <definedName name="사사" localSheetId="23">BlankMacro1</definedName>
    <definedName name="사사" localSheetId="17">BlankMacro1</definedName>
    <definedName name="사인" localSheetId="23">#REF!</definedName>
    <definedName name="사층배관" localSheetId="23">#REF!</definedName>
    <definedName name="사층배관값" localSheetId="23">#REF!</definedName>
    <definedName name="사층접지선" localSheetId="23">#REF!</definedName>
    <definedName name="사층접지선값" localSheetId="23">#REF!</definedName>
    <definedName name="사층주간선" localSheetId="23">#REF!</definedName>
    <definedName name="사층주간선값" localSheetId="23">#REF!</definedName>
    <definedName name="산" localSheetId="23">BlankMacro1</definedName>
    <definedName name="산" localSheetId="17">BlankMacro1</definedName>
    <definedName name="산안" localSheetId="23">#REF!</definedName>
    <definedName name="산재" localSheetId="23">#REF!</definedName>
    <definedName name="산재보험료" localSheetId="45">#REF!</definedName>
    <definedName name="산재보험료" localSheetId="31">#REF!</definedName>
    <definedName name="산재보험료" localSheetId="38">#REF!</definedName>
    <definedName name="산재보험료" localSheetId="18">#REF!</definedName>
    <definedName name="산출내역" localSheetId="23">#REF!</definedName>
    <definedName name="산출일위대가통신" localSheetId="23">BlankMacro1</definedName>
    <definedName name="산출일위대가통신" localSheetId="45">BlankMacro1</definedName>
    <definedName name="산출일위대가통신" localSheetId="31">BlankMacro1</definedName>
    <definedName name="산출일위대가통신" localSheetId="38">BlankMacro1</definedName>
    <definedName name="산출일위대가통신" localSheetId="18">BlankMacro1</definedName>
    <definedName name="산출일위대가통신" localSheetId="22">BlankMacro1</definedName>
    <definedName name="산출일위대가통신" localSheetId="17">BlankMacro1</definedName>
    <definedName name="삼층배관" localSheetId="24">'1-3.본관소화기(산)'!#REF!</definedName>
    <definedName name="삼층배관" localSheetId="20">'3.사회과학관(산)'!#REF!</definedName>
    <definedName name="삼층배관" localSheetId="23">#REF!</definedName>
    <definedName name="삼층배관값" localSheetId="24">'1-3.본관소화기(산)'!#REF!</definedName>
    <definedName name="삼층배관값" localSheetId="20">'3.사회과학관(산)'!#REF!</definedName>
    <definedName name="삼층배관값" localSheetId="23">#REF!</definedName>
    <definedName name="삼층접지선" localSheetId="24">'1-3.본관소화기(산)'!#REF!</definedName>
    <definedName name="삼층접지선" localSheetId="20">'3.사회과학관(산)'!#REF!</definedName>
    <definedName name="삼층접지선" localSheetId="23">#REF!</definedName>
    <definedName name="삼층접지선값" localSheetId="24">'1-3.본관소화기(산)'!#REF!</definedName>
    <definedName name="삼층접지선값" localSheetId="20">'3.사회과학관(산)'!#REF!</definedName>
    <definedName name="삼층접지선값" localSheetId="23">#REF!</definedName>
    <definedName name="삼층주간선" localSheetId="24">'1-3.본관소화기(산)'!#REF!</definedName>
    <definedName name="삼층주간선" localSheetId="20">'3.사회과학관(산)'!#REF!</definedName>
    <definedName name="삼층주간선" localSheetId="23">#REF!</definedName>
    <definedName name="삼층주간선값" localSheetId="24">'1-3.본관소화기(산)'!#REF!</definedName>
    <definedName name="삼층주간선값" localSheetId="20">'3.사회과학관(산)'!#REF!</definedName>
    <definedName name="삼층주간선값" localSheetId="23">#REF!</definedName>
    <definedName name="상인" localSheetId="23">BlankMacro1</definedName>
    <definedName name="상인" localSheetId="31">BlankMacro1</definedName>
    <definedName name="상인" localSheetId="17">BlankMacro1</definedName>
    <definedName name="서호" localSheetId="23">BlankMacro1</definedName>
    <definedName name="서호" localSheetId="17">BlankMacro1</definedName>
    <definedName name="설계내역서" localSheetId="23">BlankMacro1</definedName>
    <definedName name="설계내역서" localSheetId="45">BlankMacro1</definedName>
    <definedName name="설계내역서" localSheetId="31">BlankMacro1</definedName>
    <definedName name="설계내역서" localSheetId="38">BlankMacro1</definedName>
    <definedName name="설계내역서" localSheetId="18">BlankMacro1</definedName>
    <definedName name="설계내역서" localSheetId="22">BlankMacro1</definedName>
    <definedName name="설계내역서" localSheetId="17">BlankMacro1</definedName>
    <definedName name="설계서용지" localSheetId="23">BlankMacro1</definedName>
    <definedName name="설계서용지" localSheetId="45">BlankMacro1</definedName>
    <definedName name="설계서용지" localSheetId="31">BlankMacro1</definedName>
    <definedName name="설계서용지" localSheetId="38">BlankMacro1</definedName>
    <definedName name="설계서용지" localSheetId="18">BlankMacro1</definedName>
    <definedName name="설계서용지" localSheetId="22">BlankMacro1</definedName>
    <definedName name="설계서용지" localSheetId="17">BlankMacro1</definedName>
    <definedName name="설변사유" localSheetId="23" hidden="1">{#N/A,#N/A,TRUE,"1";#N/A,#N/A,TRUE,"2";#N/A,#N/A,TRUE,"3";#N/A,#N/A,TRUE,"4";#N/A,#N/A,TRUE,"5";#N/A,#N/A,TRUE,"6";#N/A,#N/A,TRUE,"7"}</definedName>
    <definedName name="설변사유" localSheetId="45" hidden="1">{#N/A,#N/A,TRUE,"1";#N/A,#N/A,TRUE,"2";#N/A,#N/A,TRUE,"3";#N/A,#N/A,TRUE,"4";#N/A,#N/A,TRUE,"5";#N/A,#N/A,TRUE,"6";#N/A,#N/A,TRUE,"7"}</definedName>
    <definedName name="설변사유" localSheetId="31" hidden="1">{#N/A,#N/A,TRUE,"1";#N/A,#N/A,TRUE,"2";#N/A,#N/A,TRUE,"3";#N/A,#N/A,TRUE,"4";#N/A,#N/A,TRUE,"5";#N/A,#N/A,TRUE,"6";#N/A,#N/A,TRUE,"7"}</definedName>
    <definedName name="설변사유" localSheetId="15" hidden="1">{#N/A,#N/A,TRUE,"1";#N/A,#N/A,TRUE,"2";#N/A,#N/A,TRUE,"3";#N/A,#N/A,TRUE,"4";#N/A,#N/A,TRUE,"5";#N/A,#N/A,TRUE,"6";#N/A,#N/A,TRUE,"7"}</definedName>
    <definedName name="설변사유" localSheetId="3" hidden="1">{#N/A,#N/A,TRUE,"1";#N/A,#N/A,TRUE,"2";#N/A,#N/A,TRUE,"3";#N/A,#N/A,TRUE,"4";#N/A,#N/A,TRUE,"5";#N/A,#N/A,TRUE,"6";#N/A,#N/A,TRUE,"7"}</definedName>
    <definedName name="설변사유" localSheetId="14" hidden="1">{#N/A,#N/A,TRUE,"1";#N/A,#N/A,TRUE,"2";#N/A,#N/A,TRUE,"3";#N/A,#N/A,TRUE,"4";#N/A,#N/A,TRUE,"5";#N/A,#N/A,TRUE,"6";#N/A,#N/A,TRUE,"7"}</definedName>
    <definedName name="설변사유" localSheetId="17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비" localSheetId="23">BlankMacro1</definedName>
    <definedName name="설비" localSheetId="17">BlankMacro1</definedName>
    <definedName name="성산" localSheetId="23">BlankMacro1</definedName>
    <definedName name="성산" localSheetId="31">BlankMacro1</definedName>
    <definedName name="성산" localSheetId="17">BlankMacro1</definedName>
    <definedName name="소내역" localSheetId="23">BlankMacro1</definedName>
    <definedName name="소내역" localSheetId="17">BlankMacro1</definedName>
    <definedName name="소방공량산출서" localSheetId="23">BlankMacro1</definedName>
    <definedName name="소방공량산출서" localSheetId="45">BlankMacro1</definedName>
    <definedName name="소방공량산출서" localSheetId="31">BlankMacro1</definedName>
    <definedName name="소방공량산출서" localSheetId="38">BlankMacro1</definedName>
    <definedName name="소방공량산출서" localSheetId="18">BlankMacro1</definedName>
    <definedName name="소방공량산출서" localSheetId="22">BlankMacro1</definedName>
    <definedName name="소방공량산출서" localSheetId="17">BlankMacro1</definedName>
    <definedName name="소방내역" localSheetId="23">BlankMacro1</definedName>
    <definedName name="소방내역" localSheetId="45">BlankMacro1</definedName>
    <definedName name="소방내역" localSheetId="31">BlankMacro1</definedName>
    <definedName name="소방내역" localSheetId="38">BlankMacro1</definedName>
    <definedName name="소방내역" localSheetId="18">BlankMacro1</definedName>
    <definedName name="소방내역" localSheetId="22">BlankMacro1</definedName>
    <definedName name="소방내역" localSheetId="17">BlankMacro1</definedName>
    <definedName name="소방내역2" localSheetId="23">BlankMacro1</definedName>
    <definedName name="소방내역2" localSheetId="17">BlankMacro1</definedName>
    <definedName name="소방내역서" localSheetId="23">BlankMacro1</definedName>
    <definedName name="소방내역서" localSheetId="45">BlankMacro1</definedName>
    <definedName name="소방내역서" localSheetId="31">BlankMacro1</definedName>
    <definedName name="소방내역서" localSheetId="38">BlankMacro1</definedName>
    <definedName name="소방내역서" localSheetId="18">BlankMacro1</definedName>
    <definedName name="소방내역서" localSheetId="22">BlankMacro1</definedName>
    <definedName name="소방내역서" localSheetId="17">BlankMacro1</definedName>
    <definedName name="소방단가" localSheetId="23">BlankMacro1</definedName>
    <definedName name="소방단가" localSheetId="17">BlankMacro1</definedName>
    <definedName name="소방단가조사서" localSheetId="23">BlankMacro1</definedName>
    <definedName name="소방단가조사서" localSheetId="17">BlankMacro1</definedName>
    <definedName name="소방일위" localSheetId="23">BlankMacro1</definedName>
    <definedName name="소방일위" localSheetId="17">BlankMacro1</definedName>
    <definedName name="소트" localSheetId="23">#REF!</definedName>
    <definedName name="손" localSheetId="23">'가로등 (2)'!손</definedName>
    <definedName name="손" localSheetId="31">'고재산출(STS)'!손</definedName>
    <definedName name="손" localSheetId="17">'표지4-'!손</definedName>
    <definedName name="쇼ㅕ" localSheetId="23">BlankMacro1</definedName>
    <definedName name="쇼ㅕ" localSheetId="17">BlankMacro1</definedName>
    <definedName name="쇼ㅕㅑ" localSheetId="23">BlankMacro1</definedName>
    <definedName name="쇼ㅕㅑ" localSheetId="17">BlankMacro1</definedName>
    <definedName name="쇼ㅕㅑㅔ" localSheetId="23">BlankMacro1</definedName>
    <definedName name="쇼ㅕㅑㅔ" localSheetId="17">BlankMacro1</definedName>
    <definedName name="수량" localSheetId="23">#REF!</definedName>
    <definedName name="순공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45">#REF!</definedName>
    <definedName name="순공사비" localSheetId="31">#REF!</definedName>
    <definedName name="순공사비" localSheetId="38">#REF!</definedName>
    <definedName name="순공사비" localSheetId="18">#REF!</definedName>
    <definedName name="순공사비집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45">#REF!</definedName>
    <definedName name="순공사원가" localSheetId="31">#REF!</definedName>
    <definedName name="순공사원가" localSheetId="38">#REF!</definedName>
    <definedName name="순공사원가" localSheetId="18">#REF!</definedName>
    <definedName name="純工事原價" localSheetId="23">#REF!</definedName>
    <definedName name="숨기기" localSheetId="23">'가로등 (2)'!숨기기</definedName>
    <definedName name="숨기기" localSheetId="31">'고재산출(STS)'!숨기기</definedName>
    <definedName name="숨기기" localSheetId="17">'표지4-'!숨기기</definedName>
    <definedName name="숨기지않기" localSheetId="23">'가로등 (2)'!숨기지않기</definedName>
    <definedName name="숨기지않기" localSheetId="31">'고재산출(STS)'!숨기지않기</definedName>
    <definedName name="숨기지않기" localSheetId="17">'표지4-'!숨기지않기</definedName>
    <definedName name="시리" localSheetId="23">BlankMacro1</definedName>
    <definedName name="시리" localSheetId="31">BlankMacro1</definedName>
    <definedName name="시리" localSheetId="17">BlankMacro1</definedName>
    <definedName name="신" localSheetId="23">BlankMacro1</definedName>
    <definedName name="신" localSheetId="31">BlankMacro1</definedName>
    <definedName name="신" localSheetId="17">BlankMacro1</definedName>
    <definedName name="신태진" localSheetId="23">#REF!</definedName>
    <definedName name="신호" localSheetId="23">BlankMacro1</definedName>
    <definedName name="신호" localSheetId="31">BlankMacro1</definedName>
    <definedName name="신호" localSheetId="17">BlankMacro1</definedName>
    <definedName name="신호기" localSheetId="23">'가로등 (2)'!신호기</definedName>
    <definedName name="신호기" localSheetId="31">'고재산출(STS)'!신호기</definedName>
    <definedName name="신호기" localSheetId="17">'표지4-'!신호기</definedName>
    <definedName name="ㅇㄴㄹㄴㅇㄹ" localSheetId="23">'가로등 (2)'!ㅇㄴㄹㄴㅇㄹ</definedName>
    <definedName name="ㅇㄴㄹㄴㅇㄹ" localSheetId="31">'고재산출(STS)'!ㅇㄴㄹㄴㅇㄹ</definedName>
    <definedName name="ㅇㄴㄹㄴㅇㄹ" localSheetId="17">'표지4-'!ㅇㄴㄹㄴㅇㄹ</definedName>
    <definedName name="ㅇㄹ" localSheetId="3" hidden="1">#REF!</definedName>
    <definedName name="ㅇㄹㄹ" localSheetId="33" hidden="1">#REF!</definedName>
    <definedName name="ㅇㄹㄹ" localSheetId="7" hidden="1">#REF!</definedName>
    <definedName name="ㅇㄹㄹ" localSheetId="0" hidden="1">#REF!</definedName>
    <definedName name="ㅇㄹㄹ" localSheetId="9" hidden="1">#REF!</definedName>
    <definedName name="ㅇㄹㄹ" localSheetId="19" hidden="1">#REF!</definedName>
    <definedName name="ㅇㄹㄹ" localSheetId="21" hidden="1">#REF!</definedName>
    <definedName name="ㅇㄹㄹ" localSheetId="17" hidden="1">#REF!</definedName>
    <definedName name="ㅇㄹㄹ" localSheetId="46" hidden="1">#REF!</definedName>
    <definedName name="ㅇㄹㄹ" localSheetId="48" hidden="1">#REF!</definedName>
    <definedName name="ㅇㄹㄹ" localSheetId="32" hidden="1">#REF!</definedName>
    <definedName name="ㅇㄹㄹ" hidden="1">#REF!</definedName>
    <definedName name="ㅇㄹㅀ" localSheetId="33" hidden="1">#REF!</definedName>
    <definedName name="ㅇㄹㅀ" localSheetId="7" hidden="1">#REF!</definedName>
    <definedName name="ㅇㄹㅀ" localSheetId="48" hidden="1">#REF!</definedName>
    <definedName name="ㅇㄹㅀ" localSheetId="32" hidden="1">#REF!</definedName>
    <definedName name="ㅇㄹㅀ" hidden="1">#REF!</definedName>
    <definedName name="ㅇ라ㅓㅏㅗ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ㄿ" localSheetId="18">#REF!</definedName>
    <definedName name="ㅇㅇ" localSheetId="23">BlankMacro1</definedName>
    <definedName name="ㅇㅇ" localSheetId="45">BlankMacro1</definedName>
    <definedName name="ㅇㅇ" localSheetId="31">BlankMacro1</definedName>
    <definedName name="ㅇㅇ" localSheetId="38">BlankMacro1</definedName>
    <definedName name="ㅇㅇ" localSheetId="18">BlankMacro1</definedName>
    <definedName name="ㅇㅇ" localSheetId="22">BlankMacro1</definedName>
    <definedName name="ㅇㅇ" localSheetId="17">BlankMacro1</definedName>
    <definedName name="ㅇㅇㄹ" localSheetId="23">#REF!</definedName>
    <definedName name="ㅇㅇ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3" hidden="1">#REF!</definedName>
    <definedName name="ㅇㅇ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ㄹ" localSheetId="23">BlankMacro1</definedName>
    <definedName name="ㅇㅇㅇㄹ" localSheetId="17">BlankMacro1</definedName>
    <definedName name="ㅇㅇㅇㅇ" localSheetId="23">#REF!</definedName>
    <definedName name="아" localSheetId="23">BlankMacro1</definedName>
    <definedName name="아" localSheetId="45">BlankMacro1</definedName>
    <definedName name="아" localSheetId="31">BlankMacro1</definedName>
    <definedName name="아" localSheetId="38">BlankMacro1</definedName>
    <definedName name="아" localSheetId="18">BlankMacro1</definedName>
    <definedName name="아" localSheetId="22">BlankMacro1</definedName>
    <definedName name="아" localSheetId="17">BlankMacro1</definedName>
    <definedName name="아늘믿" localSheetId="23">BlankMacro1</definedName>
    <definedName name="아늘믿" localSheetId="45">BlankMacro1</definedName>
    <definedName name="아늘믿" localSheetId="31">BlankMacro1</definedName>
    <definedName name="아늘믿" localSheetId="38">BlankMacro1</definedName>
    <definedName name="아늘믿" localSheetId="18">BlankMacro1</definedName>
    <definedName name="아늘믿" localSheetId="22">BlankMacro1</definedName>
    <definedName name="아늘믿" localSheetId="17">BlankMacro1</definedName>
    <definedName name="아니" localSheetId="23">BlankMacro1</definedName>
    <definedName name="아니" localSheetId="45">BlankMacro1</definedName>
    <definedName name="아니" localSheetId="31">BlankMacro1</definedName>
    <definedName name="아니" localSheetId="38">BlankMacro1</definedName>
    <definedName name="아니" localSheetId="18">BlankMacro1</definedName>
    <definedName name="아니" localSheetId="22">BlankMacro1</definedName>
    <definedName name="아니" localSheetId="17">BlankMacro1</definedName>
    <definedName name="아다" localSheetId="23">BlankMacro1</definedName>
    <definedName name="아다" localSheetId="45">BlankMacro1</definedName>
    <definedName name="아다" localSheetId="31">BlankMacro1</definedName>
    <definedName name="아다" localSheetId="38">BlankMacro1</definedName>
    <definedName name="아다" localSheetId="18">BlankMacro1</definedName>
    <definedName name="아다" localSheetId="22">BlankMacro1</definedName>
    <definedName name="아다" localSheetId="17">BlankMacro1</definedName>
    <definedName name="아디" localSheetId="23">BlankMacro1</definedName>
    <definedName name="아디" localSheetId="45">BlankMacro1</definedName>
    <definedName name="아디" localSheetId="31">BlankMacro1</definedName>
    <definedName name="아디" localSheetId="38">BlankMacro1</definedName>
    <definedName name="아디" localSheetId="18">BlankMacro1</definedName>
    <definedName name="아디" localSheetId="22">BlankMacro1</definedName>
    <definedName name="아디" localSheetId="17">BlankMacro1</definedName>
    <definedName name="아서" localSheetId="23">BlankMacro1</definedName>
    <definedName name="아서" localSheetId="45">BlankMacro1</definedName>
    <definedName name="아서" localSheetId="31">BlankMacro1</definedName>
    <definedName name="아서" localSheetId="38">BlankMacro1</definedName>
    <definedName name="아서" localSheetId="18">BlankMacro1</definedName>
    <definedName name="아서" localSheetId="22">BlankMacro1</definedName>
    <definedName name="아서" localSheetId="17">BlankMacro1</definedName>
    <definedName name="아아" localSheetId="23">BlankMacro1</definedName>
    <definedName name="아아" localSheetId="17">BlankMacro1</definedName>
    <definedName name="아호" localSheetId="23">BlankMacro1</definedName>
    <definedName name="아호" localSheetId="17">BlankMacro1</definedName>
    <definedName name="아ㅏㅓ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23">#REF!</definedName>
    <definedName name="안내" localSheetId="23">#REF!</definedName>
    <definedName name="안전관리비" localSheetId="45">#REF!</definedName>
    <definedName name="안전관리비" localSheetId="31">#REF!</definedName>
    <definedName name="안전관리비" localSheetId="38">#REF!</definedName>
    <definedName name="안전관리비" localSheetId="18">#REF!</definedName>
    <definedName name="안전기초" localSheetId="23">#REF!</definedName>
    <definedName name="압량" localSheetId="23">BlankMacro1</definedName>
    <definedName name="압량" localSheetId="31">BlankMacro1</definedName>
    <definedName name="압량" localSheetId="17">BlankMacro1</definedName>
    <definedName name="압량1" localSheetId="23">BlankMacro1</definedName>
    <definedName name="압량1" localSheetId="31">BlankMacro1</definedName>
    <definedName name="압량1" localSheetId="17">BlankMacro1</definedName>
    <definedName name="압량초등" localSheetId="23">BlankMacro1</definedName>
    <definedName name="압량초등" localSheetId="31">BlankMacro1</definedName>
    <definedName name="압량초등" localSheetId="17">BlankMacro1</definedName>
    <definedName name="어" localSheetId="23">BlankMacro1</definedName>
    <definedName name="어" localSheetId="17">BlankMacro1</definedName>
    <definedName name="어ㅓㅓ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33" hidden="1">#REF!</definedName>
    <definedName name="언" localSheetId="7" hidden="1">#REF!</definedName>
    <definedName name="언" localSheetId="48" hidden="1">#REF!</definedName>
    <definedName name="언" localSheetId="32" hidden="1">#REF!</definedName>
    <definedName name="언" hidden="1">#REF!</definedName>
    <definedName name="업체" localSheetId="33" hidden="1">#REF!</definedName>
    <definedName name="업체" localSheetId="7" hidden="1">#REF!</definedName>
    <definedName name="업체" localSheetId="48" hidden="1">#REF!</definedName>
    <definedName name="업체" localSheetId="32" hidden="1">#REF!</definedName>
    <definedName name="업체" hidden="1">#REF!</definedName>
    <definedName name="연접물량" localSheetId="23">'가로등 (2)'!연접물량</definedName>
    <definedName name="연접물량" localSheetId="31">'고재산출(STS)'!연접물량</definedName>
    <definedName name="연접물량" localSheetId="17">'표지4-'!연접물량</definedName>
    <definedName name="영양고" localSheetId="23">BlankMacro1</definedName>
    <definedName name="영양고" localSheetId="31">BlankMacro1</definedName>
    <definedName name="영양고" localSheetId="17">BlankMacro1</definedName>
    <definedName name="예정공정표4월분" localSheetId="23" hidden="1">{#N/A,#N/A,TRUE,"1";#N/A,#N/A,TRUE,"2";#N/A,#N/A,TRUE,"3";#N/A,#N/A,TRUE,"4";#N/A,#N/A,TRUE,"5";#N/A,#N/A,TRUE,"6";#N/A,#N/A,TRUE,"7"}</definedName>
    <definedName name="예정공정표4월분" localSheetId="45" hidden="1">{#N/A,#N/A,TRUE,"1";#N/A,#N/A,TRUE,"2";#N/A,#N/A,TRUE,"3";#N/A,#N/A,TRUE,"4";#N/A,#N/A,TRUE,"5";#N/A,#N/A,TRUE,"6";#N/A,#N/A,TRUE,"7"}</definedName>
    <definedName name="예정공정표4월분" localSheetId="31" hidden="1">{#N/A,#N/A,TRUE,"1";#N/A,#N/A,TRUE,"2";#N/A,#N/A,TRUE,"3";#N/A,#N/A,TRUE,"4";#N/A,#N/A,TRUE,"5";#N/A,#N/A,TRUE,"6";#N/A,#N/A,TRUE,"7"}</definedName>
    <definedName name="예정공정표4월분" localSheetId="15" hidden="1">{#N/A,#N/A,TRUE,"1";#N/A,#N/A,TRUE,"2";#N/A,#N/A,TRUE,"3";#N/A,#N/A,TRUE,"4";#N/A,#N/A,TRUE,"5";#N/A,#N/A,TRUE,"6";#N/A,#N/A,TRUE,"7"}</definedName>
    <definedName name="예정공정표4월분" localSheetId="3" hidden="1">{#N/A,#N/A,TRUE,"1";#N/A,#N/A,TRUE,"2";#N/A,#N/A,TRUE,"3";#N/A,#N/A,TRUE,"4";#N/A,#N/A,TRUE,"5";#N/A,#N/A,TRUE,"6";#N/A,#N/A,TRUE,"7"}</definedName>
    <definedName name="예정공정표4월분" localSheetId="14" hidden="1">{#N/A,#N/A,TRUE,"1";#N/A,#N/A,TRUE,"2";#N/A,#N/A,TRUE,"3";#N/A,#N/A,TRUE,"4";#N/A,#N/A,TRUE,"5";#N/A,#N/A,TRUE,"6";#N/A,#N/A,TRUE,"7"}</definedName>
    <definedName name="예정공정표4월분" localSheetId="17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나" localSheetId="23">BlankMacro1</definedName>
    <definedName name="오나" localSheetId="17">BlankMacro1</definedName>
    <definedName name="오노" localSheetId="23">BlankMacro1</definedName>
    <definedName name="오노" localSheetId="17">BlankMacro1</definedName>
    <definedName name="오배수" localSheetId="23" hidden="1">{#N/A,#N/A,TRUE,"천상그린44PY"}</definedName>
    <definedName name="오배수" localSheetId="45" hidden="1">{#N/A,#N/A,TRUE,"천상그린44PY"}</definedName>
    <definedName name="오배수" localSheetId="31" hidden="1">{#N/A,#N/A,TRUE,"천상그린44PY"}</definedName>
    <definedName name="오배수" localSheetId="38" hidden="1">{#N/A,#N/A,TRUE,"천상그린44PY"}</definedName>
    <definedName name="오배수" localSheetId="8" hidden="1">{#N/A,#N/A,TRUE,"천상그린44PY"}</definedName>
    <definedName name="오배수" localSheetId="15" hidden="1">{#N/A,#N/A,TRUE,"천상그린44PY"}</definedName>
    <definedName name="오배수" localSheetId="3" hidden="1">{#N/A,#N/A,TRUE,"천상그린44PY"}</definedName>
    <definedName name="오배수" localSheetId="18" hidden="1">{#N/A,#N/A,TRUE,"천상그린44PY"}</definedName>
    <definedName name="오배수" localSheetId="14" hidden="1">{#N/A,#N/A,TRUE,"천상그린44PY"}</definedName>
    <definedName name="오배수" localSheetId="0" hidden="1">{#N/A,#N/A,TRUE,"천상그린44PY"}</definedName>
    <definedName name="오배수" localSheetId="9" hidden="1">{#N/A,#N/A,TRUE,"천상그린44PY"}</definedName>
    <definedName name="오배수" localSheetId="19" hidden="1">{#N/A,#N/A,TRUE,"천상그린44PY"}</definedName>
    <definedName name="오배수" localSheetId="21" hidden="1">{#N/A,#N/A,TRUE,"천상그린44PY"}</definedName>
    <definedName name="오배수" localSheetId="17" hidden="1">{#N/A,#N/A,TRUE,"천상그린44PY"}</definedName>
    <definedName name="오배수" localSheetId="46" hidden="1">{#N/A,#N/A,TRUE,"천상그린44PY"}</definedName>
    <definedName name="오배수" localSheetId="48" hidden="1">{#N/A,#N/A,TRUE,"천상그린44PY"}</definedName>
    <definedName name="오배수" localSheetId="32" hidden="1">{#N/A,#N/A,TRUE,"천상그린44PY"}</definedName>
    <definedName name="오배수" hidden="1">{#N/A,#N/A,TRUE,"천상그린44PY"}</definedName>
    <definedName name="오배수입상" localSheetId="23" hidden="1">{#N/A,#N/A,TRUE,"천상그린44PY"}</definedName>
    <definedName name="오배수입상" localSheetId="45" hidden="1">{#N/A,#N/A,TRUE,"천상그린44PY"}</definedName>
    <definedName name="오배수입상" localSheetId="31" hidden="1">{#N/A,#N/A,TRUE,"천상그린44PY"}</definedName>
    <definedName name="오배수입상" localSheetId="38" hidden="1">{#N/A,#N/A,TRUE,"천상그린44PY"}</definedName>
    <definedName name="오배수입상" localSheetId="8" hidden="1">{#N/A,#N/A,TRUE,"천상그린44PY"}</definedName>
    <definedName name="오배수입상" localSheetId="15" hidden="1">{#N/A,#N/A,TRUE,"천상그린44PY"}</definedName>
    <definedName name="오배수입상" localSheetId="3" hidden="1">{#N/A,#N/A,TRUE,"천상그린44PY"}</definedName>
    <definedName name="오배수입상" localSheetId="18" hidden="1">{#N/A,#N/A,TRUE,"천상그린44PY"}</definedName>
    <definedName name="오배수입상" localSheetId="14" hidden="1">{#N/A,#N/A,TRUE,"천상그린44PY"}</definedName>
    <definedName name="오배수입상" localSheetId="0" hidden="1">{#N/A,#N/A,TRUE,"천상그린44PY"}</definedName>
    <definedName name="오배수입상" localSheetId="9" hidden="1">{#N/A,#N/A,TRUE,"천상그린44PY"}</definedName>
    <definedName name="오배수입상" localSheetId="19" hidden="1">{#N/A,#N/A,TRUE,"천상그린44PY"}</definedName>
    <definedName name="오배수입상" localSheetId="21" hidden="1">{#N/A,#N/A,TRUE,"천상그린44PY"}</definedName>
    <definedName name="오배수입상" localSheetId="17" hidden="1">{#N/A,#N/A,TRUE,"천상그린44PY"}</definedName>
    <definedName name="오배수입상" localSheetId="46" hidden="1">{#N/A,#N/A,TRUE,"천상그린44PY"}</definedName>
    <definedName name="오배수입상" localSheetId="48" hidden="1">{#N/A,#N/A,TRUE,"천상그린44PY"}</definedName>
    <definedName name="오배수입상" localSheetId="32" hidden="1">{#N/A,#N/A,TRUE,"천상그린44PY"}</definedName>
    <definedName name="오배수입상" hidden="1">{#N/A,#N/A,TRUE,"천상그린44PY"}</definedName>
    <definedName name="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상배관" localSheetId="23">#REF!</definedName>
    <definedName name="옥상배관" localSheetId="22">#REF!</definedName>
    <definedName name="옥상배관값" localSheetId="23">#REF!</definedName>
    <definedName name="옥상배관값" localSheetId="22">#REF!</definedName>
    <definedName name="옥상접지선" localSheetId="23">#REF!</definedName>
    <definedName name="옥상접지선" localSheetId="22">#REF!</definedName>
    <definedName name="옥상접지선값" localSheetId="23">#REF!</definedName>
    <definedName name="옥상접지선값" localSheetId="22">#REF!</definedName>
    <definedName name="옥상주간선" localSheetId="23">#REF!</definedName>
    <definedName name="옥상주간선" localSheetId="22">#REF!</definedName>
    <definedName name="옥상주간선값" localSheetId="23">#REF!</definedName>
    <definedName name="옥상주간선값" localSheetId="22">#REF!</definedName>
    <definedName name="왜" localSheetId="23">BlankMacro1</definedName>
    <definedName name="왜" localSheetId="31">BlankMacro1</definedName>
    <definedName name="왜" localSheetId="17">BlankMacro1</definedName>
    <definedName name="왜관" localSheetId="23">BlankMacro1</definedName>
    <definedName name="왜관" localSheetId="31">BlankMacro1</definedName>
    <definedName name="왜관" localSheetId="17">BlankMacro1</definedName>
    <definedName name="왜관초등" localSheetId="23">BlankMacro1</definedName>
    <definedName name="왜관초등" localSheetId="31">BlankMacro1</definedName>
    <definedName name="왜관초등" localSheetId="17">BlankMacro1</definedName>
    <definedName name="외주의뢰1" localSheetId="33" hidden="1">#REF!</definedName>
    <definedName name="외주의뢰1" localSheetId="7" hidden="1">#REF!</definedName>
    <definedName name="외주의뢰1" localSheetId="48" hidden="1">#REF!</definedName>
    <definedName name="외주의뢰1" localSheetId="32" hidden="1">#REF!</definedName>
    <definedName name="외주의뢰1" hidden="1">#REF!</definedName>
    <definedName name="요아" localSheetId="23">BlankMacro1</definedName>
    <definedName name="요아" localSheetId="17">BlankMacro1</definedName>
    <definedName name="용산초" localSheetId="23">BlankMacro1</definedName>
    <definedName name="용산초" localSheetId="31">BlankMacro1</definedName>
    <definedName name="용산초" localSheetId="17">BlankMacro1</definedName>
    <definedName name="용산초등" localSheetId="23">BlankMacro1</definedName>
    <definedName name="용산초등" localSheetId="31">BlankMacro1</definedName>
    <definedName name="용산초등" localSheetId="17">BlankMacro1</definedName>
    <definedName name="용상초등" localSheetId="23">BlankMacro1</definedName>
    <definedName name="용상초등" localSheetId="31">BlankMacro1</definedName>
    <definedName name="용상초등" localSheetId="17">BlankMacro1</definedName>
    <definedName name="용전" localSheetId="23">BlankMacro1</definedName>
    <definedName name="용전" localSheetId="31">BlankMacro1</definedName>
    <definedName name="용전" localSheetId="17">BlankMacro1</definedName>
    <definedName name="용전초" localSheetId="23">BlankMacro1</definedName>
    <definedName name="용전초" localSheetId="31">BlankMacro1</definedName>
    <definedName name="용전초" localSheetId="17">BlankMacro1</definedName>
    <definedName name="욫전" localSheetId="23">BlankMacro1</definedName>
    <definedName name="욫전" localSheetId="31">BlankMacro1</definedName>
    <definedName name="욫전" localSheetId="17">BlankMacro1</definedName>
    <definedName name="원" localSheetId="18">#REF!</definedName>
    <definedName name="원" localSheetId="22">#REF!</definedName>
    <definedName name="원가" localSheetId="23">BlankMacro1</definedName>
    <definedName name="원가" localSheetId="22">BlankMacro1</definedName>
    <definedName name="원가1" localSheetId="23">BlankMacro1</definedName>
    <definedName name="원가1" localSheetId="45">BlankMacro1</definedName>
    <definedName name="원가1" localSheetId="31">BlankMacro1</definedName>
    <definedName name="원가1" localSheetId="38">BlankMacro1</definedName>
    <definedName name="원가1" localSheetId="18">BlankMacro1</definedName>
    <definedName name="원가1" localSheetId="22">BlankMacro1</definedName>
    <definedName name="원가1" localSheetId="17">BlankMacro1</definedName>
    <definedName name="원가2" localSheetId="23">BlankMacro1</definedName>
    <definedName name="원가2" localSheetId="17">BlankMacro1</definedName>
    <definedName name="원가3" localSheetId="23">BlankMacro1</definedName>
    <definedName name="원가3" localSheetId="17">BlankMacro1</definedName>
    <definedName name="원가계" localSheetId="23">#REF!</definedName>
    <definedName name="원가계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합계" localSheetId="23">#REF!</definedName>
    <definedName name="원각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지관리비" localSheetId="33" hidden="1">#REF!</definedName>
    <definedName name="유지관리비" localSheetId="7" hidden="1">#REF!</definedName>
    <definedName name="유지관리비" localSheetId="48" hidden="1">#REF!</definedName>
    <definedName name="유지관리비" localSheetId="32" hidden="1">#REF!</definedName>
    <definedName name="유지관리비" hidden="1">#REF!</definedName>
    <definedName name="육층배관" localSheetId="23">#REF!</definedName>
    <definedName name="육층배관값" localSheetId="23">#REF!</definedName>
    <definedName name="육층접지선" localSheetId="23">#REF!</definedName>
    <definedName name="육층접지선값" localSheetId="23">#REF!</definedName>
    <definedName name="육층주간선" localSheetId="23">#REF!</definedName>
    <definedName name="육층주간선값" localSheetId="23">#REF!</definedName>
    <definedName name="율" localSheetId="23">#REF!</definedName>
    <definedName name="은비" localSheetId="23">#REF!</definedName>
    <definedName name="이름표" localSheetId="45" hidden="1">{#N/A,#N/A,FALSE,"단가표지"}</definedName>
    <definedName name="이름표" hidden="1">{#N/A,#N/A,FALSE,"단가표지"}</definedName>
    <definedName name="이릉" localSheetId="33" hidden="1">#REF!</definedName>
    <definedName name="이릉" localSheetId="7" hidden="1">#REF!</definedName>
    <definedName name="이릉" localSheetId="48" hidden="1">#REF!</definedName>
    <definedName name="이릉" localSheetId="32" hidden="1">#REF!</definedName>
    <definedName name="이릉" hidden="1">#REF!</definedName>
    <definedName name="이윤" localSheetId="45">#REF!</definedName>
    <definedName name="이윤" localSheetId="31">#REF!</definedName>
    <definedName name="이윤" localSheetId="38">#REF!</definedName>
    <definedName name="이윤" localSheetId="18">#REF!</definedName>
    <definedName name="利潤" localSheetId="23">#REF!</definedName>
    <definedName name="이층배관" localSheetId="23">#REF!</definedName>
    <definedName name="이층배관값" localSheetId="23">#REF!</definedName>
    <definedName name="이층접지선" localSheetId="23">#REF!</definedName>
    <definedName name="이층접지선값" localSheetId="23">#REF!</definedName>
    <definedName name="이층주간선" localSheetId="23">#REF!</definedName>
    <definedName name="이층주간선값" localSheetId="23">#REF!</definedName>
    <definedName name="인상익" localSheetId="23">BlankMacro1</definedName>
    <definedName name="인상익" localSheetId="45">BlankMacro1</definedName>
    <definedName name="인상익" localSheetId="31">BlankMacro1</definedName>
    <definedName name="인상익" localSheetId="38">BlankMacro1</definedName>
    <definedName name="인상익" localSheetId="18">BlankMacro1</definedName>
    <definedName name="인상익" localSheetId="22">BlankMacro1</definedName>
    <definedName name="인상익" localSheetId="17">BlankMacro1</definedName>
    <definedName name="인쇄하기" localSheetId="23">'가로등 (2)'!인쇄하기</definedName>
    <definedName name="인쇄하기" localSheetId="31">'고재산출(STS)'!인쇄하기</definedName>
    <definedName name="인쇄하기" localSheetId="17">'표지4-'!인쇄하기</definedName>
    <definedName name="인천지검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23" hidden="1">#REF!</definedName>
    <definedName name="일" localSheetId="15" hidden="1">#REF!</definedName>
    <definedName name="일" localSheetId="3" hidden="1">#REF!</definedName>
    <definedName name="일" localSheetId="14" hidden="1">#REF!</definedName>
    <definedName name="일" localSheetId="22" hidden="1">#REF!</definedName>
    <definedName name="일반" localSheetId="23">#REF!</definedName>
    <definedName name="일반관리비" localSheetId="45">#REF!</definedName>
    <definedName name="일반관리비" localSheetId="31">#REF!</definedName>
    <definedName name="일반관리비" localSheetId="38">#REF!</definedName>
    <definedName name="일반관리비" localSheetId="18">#REF!</definedName>
    <definedName name="一般管理費" localSheetId="23">#REF!</definedName>
    <definedName name="일성초" localSheetId="23">BlankMacro1</definedName>
    <definedName name="일성초" localSheetId="31">BlankMacro1</definedName>
    <definedName name="일성초" localSheetId="17">BlankMacro1</definedName>
    <definedName name="일위" localSheetId="23">#REF!,#REF!</definedName>
    <definedName name="일위" localSheetId="45">#REF!,#REF!</definedName>
    <definedName name="일위" localSheetId="31">#REF!,#REF!</definedName>
    <definedName name="일위" localSheetId="38">#REF!,#REF!</definedName>
    <definedName name="일위" localSheetId="18">#REF!,#REF!</definedName>
    <definedName name="일위대가목록" localSheetId="23">BlankMacro1</definedName>
    <definedName name="일위대가목록" localSheetId="17">BlankMacro1</definedName>
    <definedName name="일위목록" localSheetId="23">BlankMacro1</definedName>
    <definedName name="일위목록" localSheetId="17">BlankMacro1</definedName>
    <definedName name="일위샘플" localSheetId="23">BlankMacro1</definedName>
    <definedName name="일위샘플" localSheetId="17">BlankMacro1</definedName>
    <definedName name="일층배관" localSheetId="23">#REF!</definedName>
    <definedName name="일층배관" localSheetId="22">#REF!</definedName>
    <definedName name="일층배관값" localSheetId="23">#REF!</definedName>
    <definedName name="일층배관값" localSheetId="22">#REF!</definedName>
    <definedName name="일층접지선" localSheetId="23">#REF!</definedName>
    <definedName name="일층접지선" localSheetId="22">#REF!</definedName>
    <definedName name="일층접지선값" localSheetId="23">#REF!</definedName>
    <definedName name="일층접지선값" localSheetId="22">#REF!</definedName>
    <definedName name="일층주간선" localSheetId="23">#REF!</definedName>
    <definedName name="일층주간선" localSheetId="22">#REF!</definedName>
    <definedName name="일층주간선값" localSheetId="23">#REF!</definedName>
    <definedName name="일층주간선값" localSheetId="22">#REF!</definedName>
    <definedName name="ㅈㄷ" localSheetId="33" hidden="1">#REF!</definedName>
    <definedName name="ㅈㄷ" localSheetId="7" hidden="1">#REF!</definedName>
    <definedName name="ㅈㄷ" localSheetId="48" hidden="1">#REF!</definedName>
    <definedName name="ㅈㄷ" localSheetId="32" hidden="1">#REF!</definedName>
    <definedName name="ㅈㄷ" hidden="1">#REF!</definedName>
    <definedName name="ㅈㅈ" localSheetId="23">#REF!</definedName>
    <definedName name="ㅈㅈㅈㅈ" localSheetId="23">BlankMacro1</definedName>
    <definedName name="ㅈㅈㅈㅈ" localSheetId="17">BlankMacro1</definedName>
    <definedName name="ㅈㅈㅈㅈㅈㅈㅈㅈㅈㅈㅂ" localSheetId="23">BlankMacro1</definedName>
    <definedName name="ㅈㅈㅈㅈㅈㅈㅈㅈㅈㅈㅂ" localSheetId="17">BlankMacro1</definedName>
    <definedName name="자" localSheetId="23">BlankMacro1</definedName>
    <definedName name="자" localSheetId="45">BlankMacro1</definedName>
    <definedName name="자" localSheetId="31">BlankMacro1</definedName>
    <definedName name="자" localSheetId="38">BlankMacro1</definedName>
    <definedName name="자" localSheetId="18">BlankMacro1</definedName>
    <definedName name="자" localSheetId="22">BlankMacro1</definedName>
    <definedName name="자" localSheetId="17">BlankMacro1</definedName>
    <definedName name="자동제어1차공량산출" localSheetId="23">BlankMacro1</definedName>
    <definedName name="자동제어1차공량산출" localSheetId="45">BlankMacro1</definedName>
    <definedName name="자동제어1차공량산출" localSheetId="31">BlankMacro1</definedName>
    <definedName name="자동제어1차공량산출" localSheetId="38">BlankMacro1</definedName>
    <definedName name="자동제어1차공량산출" localSheetId="18">BlankMacro1</definedName>
    <definedName name="자동제어1차공량산출" localSheetId="22">BlankMacro1</definedName>
    <definedName name="자동제어1차공량산출" localSheetId="17">BlankMacro1</definedName>
    <definedName name="재료" localSheetId="23">#REF!</definedName>
    <definedName name="材料費" localSheetId="23">#REF!</definedName>
    <definedName name="재료집계3" localSheetId="23">#REF!</definedName>
    <definedName name="저기" localSheetId="23">BlankMacro1</definedName>
    <definedName name="저기" localSheetId="17">BlankMacro1</definedName>
    <definedName name="적용대가산출표" localSheetId="23">#REF!</definedName>
    <definedName name="적용물량프린트범위" localSheetId="23">#REF!</definedName>
    <definedName name="전기내역" localSheetId="23">BlankMacro1</definedName>
    <definedName name="전기내역" localSheetId="17">BlankMacro1</definedName>
    <definedName name="전기내역1" localSheetId="23">BlankMacro1</definedName>
    <definedName name="전기내역1" localSheetId="17">BlankMacro1</definedName>
    <definedName name="전기변경1" localSheetId="23">BlankMacro1</definedName>
    <definedName name="전기변경1" localSheetId="45">BlankMacro1</definedName>
    <definedName name="전기변경1" localSheetId="31">BlankMacro1</definedName>
    <definedName name="전기변경1" localSheetId="38">BlankMacro1</definedName>
    <definedName name="전기변경1" localSheetId="18">BlankMacro1</definedName>
    <definedName name="전기변경1" localSheetId="22">BlankMacro1</definedName>
    <definedName name="전기변경1" localSheetId="17">BlankMacro1</definedName>
    <definedName name="전기변경3" localSheetId="23">BlankMacro1</definedName>
    <definedName name="전기변경3" localSheetId="45">BlankMacro1</definedName>
    <definedName name="전기변경3" localSheetId="31">BlankMacro1</definedName>
    <definedName name="전기변경3" localSheetId="38">BlankMacro1</definedName>
    <definedName name="전기변경3" localSheetId="18">BlankMacro1</definedName>
    <definedName name="전기변경3" localSheetId="22">BlankMacro1</definedName>
    <definedName name="전기변경3" localSheetId="17">BlankMacro1</definedName>
    <definedName name="전기총괄" localSheetId="23">BlankMacro1</definedName>
    <definedName name="전기총괄" localSheetId="17">BlankMacro1</definedName>
    <definedName name="전등" localSheetId="23">'가로등 (2)'!전등</definedName>
    <definedName name="전등" localSheetId="31">'고재산출(STS)'!전등</definedName>
    <definedName name="전등" localSheetId="17">'표지4-'!전등</definedName>
    <definedName name="전력간선" localSheetId="23">BlankMacro1</definedName>
    <definedName name="전력간선" localSheetId="17">BlankMacro1</definedName>
    <definedName name="전화" localSheetId="23">BlankMacro1</definedName>
    <definedName name="전화" localSheetId="17">BlankMacro1</definedName>
    <definedName name="점멸기입력" localSheetId="23">'가로등 (2)'!점멸기입력</definedName>
    <definedName name="점멸기입력" localSheetId="31">'고재산출(STS)'!점멸기입력</definedName>
    <definedName name="점멸기입력" localSheetId="17">'표지4-'!점멸기입력</definedName>
    <definedName name="접지선" localSheetId="24">'1-3.본관소화기(산)'!#REF!</definedName>
    <definedName name="접지선" localSheetId="20">'3.사회과학관(산)'!#REF!</definedName>
    <definedName name="접지선값" localSheetId="24">'1-3.본관소화기(산)'!#REF!</definedName>
    <definedName name="접지선값" localSheetId="20">'3.사회과학관(산)'!#REF!</definedName>
    <definedName name="정" localSheetId="23">'가로등 (2)'!정</definedName>
    <definedName name="정" localSheetId="31">'고재산출(STS)'!정</definedName>
    <definedName name="정" localSheetId="17">'표지4-'!정</definedName>
    <definedName name="제1호표" localSheetId="23">#REF!</definedName>
    <definedName name="제1호표" localSheetId="45">#REF!</definedName>
    <definedName name="제1호표" localSheetId="31">#REF!</definedName>
    <definedName name="제1호표" localSheetId="38">#REF!</definedName>
    <definedName name="제1호표" localSheetId="18">#REF!</definedName>
    <definedName name="제1호표" localSheetId="22">#REF!</definedName>
    <definedName name="제2호표" localSheetId="23">#REF!</definedName>
    <definedName name="제2호표" localSheetId="45">#REF!</definedName>
    <definedName name="제2호표" localSheetId="31">#REF!</definedName>
    <definedName name="제2호표" localSheetId="38">#REF!</definedName>
    <definedName name="제2호표" localSheetId="18">#REF!</definedName>
    <definedName name="제2호표" localSheetId="22">#REF!</definedName>
    <definedName name="제3호표" localSheetId="23">#REF!</definedName>
    <definedName name="제3호표" localSheetId="45">#REF!</definedName>
    <definedName name="제3호표" localSheetId="31">#REF!</definedName>
    <definedName name="제3호표" localSheetId="38">#REF!</definedName>
    <definedName name="제3호표" localSheetId="18">#REF!</definedName>
    <definedName name="제3호표" localSheetId="22">#REF!</definedName>
    <definedName name="제4호표" localSheetId="23">#REF!</definedName>
    <definedName name="제4호표" localSheetId="45">#REF!</definedName>
    <definedName name="제4호표" localSheetId="31">#REF!</definedName>
    <definedName name="제4호표" localSheetId="38">#REF!</definedName>
    <definedName name="제4호표" localSheetId="18">#REF!</definedName>
    <definedName name="제4호표" localSheetId="22">#REF!</definedName>
    <definedName name="제5호표" localSheetId="23">#REF!</definedName>
    <definedName name="제5호표" localSheetId="45">#REF!</definedName>
    <definedName name="제5호표" localSheetId="31">#REF!</definedName>
    <definedName name="제5호표" localSheetId="38">#REF!</definedName>
    <definedName name="제5호표" localSheetId="18">#REF!</definedName>
    <definedName name="제5호표" localSheetId="22">#REF!</definedName>
    <definedName name="제6호표" localSheetId="23">#REF!</definedName>
    <definedName name="제6호표" localSheetId="45">#REF!</definedName>
    <definedName name="제6호표" localSheetId="31">#REF!</definedName>
    <definedName name="제6호표" localSheetId="38">#REF!</definedName>
    <definedName name="제6호표" localSheetId="18">#REF!</definedName>
    <definedName name="제6호표" localSheetId="22">#REF!</definedName>
    <definedName name="제조3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달수수료" localSheetId="23">#REF!</definedName>
    <definedName name="조조조조" localSheetId="23">BlankMacro1</definedName>
    <definedName name="조조조조" localSheetId="45">BlankMacro1</definedName>
    <definedName name="조조조조" localSheetId="31">BlankMacro1</definedName>
    <definedName name="조조조조" localSheetId="38">BlankMacro1</definedName>
    <definedName name="조조조조" localSheetId="18">BlankMacro1</definedName>
    <definedName name="조조조조" localSheetId="22">BlankMacro1</definedName>
    <definedName name="조조조조" localSheetId="17">BlankMacro1</definedName>
    <definedName name="조조조조좆" localSheetId="23">BlankMacro1</definedName>
    <definedName name="조조조조좆" localSheetId="45">BlankMacro1</definedName>
    <definedName name="조조조조좆" localSheetId="31">BlankMacro1</definedName>
    <definedName name="조조조조좆" localSheetId="38">BlankMacro1</definedName>
    <definedName name="조조조조좆" localSheetId="18">BlankMacro1</definedName>
    <definedName name="조조조조좆" localSheetId="22">BlankMacro1</definedName>
    <definedName name="조조조조좆" localSheetId="17">BlankMacro1</definedName>
    <definedName name="종합청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선" localSheetId="24">'1-3.본관소화기(산)'!#REF!</definedName>
    <definedName name="주간선" localSheetId="20">'3.사회과학관(산)'!#REF!</definedName>
    <definedName name="주간선값" localSheetId="24">'1-3.본관소화기(산)'!#REF!</definedName>
    <definedName name="주간선값" localSheetId="20">'3.사회과학관(산)'!#REF!</definedName>
    <definedName name="쥬" localSheetId="23">'가로등 (2)'!쥬</definedName>
    <definedName name="쥬" localSheetId="31">'고재산출(STS)'!쥬</definedName>
    <definedName name="쥬" localSheetId="17">'표지4-'!쥬</definedName>
    <definedName name="증경" localSheetId="23">#REF!</definedName>
    <definedName name="증계" localSheetId="23">#REF!</definedName>
    <definedName name="증노" localSheetId="23">#REF!</definedName>
    <definedName name="증수" localSheetId="23">#REF!</definedName>
    <definedName name="증재" localSheetId="23">#REF!</definedName>
    <definedName name="지수1" localSheetId="23">#REF!</definedName>
    <definedName name="지수표" localSheetId="23">#REF!</definedName>
    <definedName name="지원" localSheetId="23">BlankMacro1</definedName>
    <definedName name="지원" localSheetId="17">BlankMacro1</definedName>
    <definedName name="지원앱" localSheetId="23">BlankMacro1</definedName>
    <definedName name="지원앱" localSheetId="17">BlankMacro1</definedName>
    <definedName name="지하배관" localSheetId="23">#REF!</definedName>
    <definedName name="지하배관" localSheetId="22">#REF!</definedName>
    <definedName name="지하배관값" localSheetId="23">#REF!</definedName>
    <definedName name="지하배관값" localSheetId="22">#REF!</definedName>
    <definedName name="지하접지선" localSheetId="23">#REF!</definedName>
    <definedName name="지하접지선" localSheetId="22">#REF!</definedName>
    <definedName name="지하접지선값" localSheetId="23">#REF!</definedName>
    <definedName name="지하접지선값" localSheetId="22">#REF!</definedName>
    <definedName name="지하주간선" localSheetId="23">#REF!</definedName>
    <definedName name="지하주간선" localSheetId="22">#REF!</definedName>
    <definedName name="지하주간선값" localSheetId="23">#REF!</definedName>
    <definedName name="지하주간선값" localSheetId="22">#REF!</definedName>
    <definedName name="직접경비" localSheetId="45">#REF!</definedName>
    <definedName name="직접경비" localSheetId="31">#REF!</definedName>
    <definedName name="직접경비" localSheetId="38">#REF!</definedName>
    <definedName name="직접경비" localSheetId="18">#REF!</definedName>
    <definedName name="직접노무비" localSheetId="45">#REF!</definedName>
    <definedName name="직접노무비" localSheetId="31">#REF!</definedName>
    <definedName name="직접노무비" localSheetId="38">#REF!</definedName>
    <definedName name="직접노무비" localSheetId="18">#REF!</definedName>
    <definedName name="直接人件費" localSheetId="23">#REF!</definedName>
    <definedName name="진성" localSheetId="23">BlankMacro1</definedName>
    <definedName name="진성" localSheetId="31">BlankMacro1</definedName>
    <definedName name="진성" localSheetId="17">BlankMacro1</definedName>
    <definedName name="진성초등" localSheetId="23">BlankMacro1</definedName>
    <definedName name="진성초등" localSheetId="31">BlankMacro1</definedName>
    <definedName name="진성초등" localSheetId="17">BlankMacro1</definedName>
    <definedName name="집" localSheetId="23">'가로등 (2)'!집</definedName>
    <definedName name="집" localSheetId="17">'표지4-'!집</definedName>
    <definedName name="집계서" localSheetId="23">BlankMacro1</definedName>
    <definedName name="집계서" localSheetId="17">BlankMacro1</definedName>
    <definedName name="ㅊ" localSheetId="23">'가로등 (2)'!ㅊ</definedName>
    <definedName name="ㅊ" localSheetId="31">'고재산출(STS)'!ㅊ</definedName>
    <definedName name="ㅊ" localSheetId="17">'표지4-'!ㅊ</definedName>
    <definedName name="차" localSheetId="23">BlankMacro1</definedName>
    <definedName name="차" localSheetId="45">BlankMacro1</definedName>
    <definedName name="차" localSheetId="31">BlankMacro1</definedName>
    <definedName name="차" localSheetId="38">BlankMacro1</definedName>
    <definedName name="차" localSheetId="18">BlankMacro1</definedName>
    <definedName name="차" localSheetId="22">BlankMacro1</definedName>
    <definedName name="차" localSheetId="17">BlankMacro1</definedName>
    <definedName name="창공" localSheetId="23">#REF!</definedName>
    <definedName name="창호" localSheetId="23">#REF!</definedName>
    <definedName name="챠01" localSheetId="23">#REF!</definedName>
    <definedName name="챠02" localSheetId="23">#REF!</definedName>
    <definedName name="총공" localSheetId="23" hidden="1">{#N/A,#N/A,FALSE,"운반시간"}</definedName>
    <definedName name="총공" localSheetId="45" hidden="1">{#N/A,#N/A,FALSE,"운반시간"}</definedName>
    <definedName name="총공" localSheetId="31" hidden="1">{#N/A,#N/A,FALSE,"운반시간"}</definedName>
    <definedName name="총공" localSheetId="15" hidden="1">{#N/A,#N/A,FALSE,"운반시간"}</definedName>
    <definedName name="총공" localSheetId="3" hidden="1">{#N/A,#N/A,FALSE,"운반시간"}</definedName>
    <definedName name="총공" localSheetId="14" hidden="1">{#N/A,#N/A,FALSE,"운반시간"}</definedName>
    <definedName name="총공" localSheetId="17" hidden="1">{#N/A,#N/A,FALSE,"운반시간"}</definedName>
    <definedName name="총공" hidden="1">{#N/A,#N/A,FALSE,"운반시간"}</definedName>
    <definedName name="總原價" localSheetId="23">#REF!</definedName>
    <definedName name="총집계" localSheetId="23">#REF!</definedName>
    <definedName name="추가" localSheetId="23">#REF!</definedName>
    <definedName name="ㅋㅋ" localSheetId="23">BlankMacro1</definedName>
    <definedName name="ㅋㅋ" localSheetId="45">BlankMacro1</definedName>
    <definedName name="ㅋㅋ" localSheetId="31">BlankMacro1</definedName>
    <definedName name="ㅋㅋ" localSheetId="38">BlankMacro1</definedName>
    <definedName name="ㅋㅋ" localSheetId="18">BlankMacro1</definedName>
    <definedName name="ㅋㅋ" localSheetId="22">BlankMacro1</definedName>
    <definedName name="ㅋㅋ" localSheetId="17">BlankMacro1</definedName>
    <definedName name="ㅋㅋㅋ" localSheetId="45" hidden="1">{#N/A,#N/A,FALSE,"단가표지"}</definedName>
    <definedName name="ㅋㅋㅋ" hidden="1">{#N/A,#N/A,FALSE,"단가표지"}</definedName>
    <definedName name="ㅋㅋㅋㅋㅋㅋㅋㅋ" localSheetId="23">BlankMacro1</definedName>
    <definedName name="ㅋㅋㅋㅋㅋㅋㅋㅋ" localSheetId="17">BlankMacro1</definedName>
    <definedName name="ㅋㅋㅋㅋㅋㅋㅋㅋㅋ" localSheetId="23">BlankMacro1</definedName>
    <definedName name="ㅋㅋㅋㅋㅋㅋㅋㅋㅋ" localSheetId="17">BlankMacro1</definedName>
    <definedName name="템플리트모듈1" localSheetId="23">BlankMacro1</definedName>
    <definedName name="템플리트모듈1" localSheetId="45">BlankMacro1</definedName>
    <definedName name="템플리트모듈1" localSheetId="31">BlankMacro1</definedName>
    <definedName name="템플리트모듈1" localSheetId="38">BlankMacro1</definedName>
    <definedName name="템플리트모듈1" localSheetId="18">BlankMacro1</definedName>
    <definedName name="템플리트모듈1" localSheetId="22">BlankMacro1</definedName>
    <definedName name="템플리트모듈1" localSheetId="17">BlankMacro1</definedName>
    <definedName name="템플리트모듈2" localSheetId="23">BlankMacro1</definedName>
    <definedName name="템플리트모듈2" localSheetId="45">BlankMacro1</definedName>
    <definedName name="템플리트모듈2" localSheetId="31">BlankMacro1</definedName>
    <definedName name="템플리트모듈2" localSheetId="38">BlankMacro1</definedName>
    <definedName name="템플리트모듈2" localSheetId="18">BlankMacro1</definedName>
    <definedName name="템플리트모듈2" localSheetId="22">BlankMacro1</definedName>
    <definedName name="템플리트모듈2" localSheetId="17">BlankMacro1</definedName>
    <definedName name="템플리트모듈3" localSheetId="23">BlankMacro1</definedName>
    <definedName name="템플리트모듈3" localSheetId="45">BlankMacro1</definedName>
    <definedName name="템플리트모듈3" localSheetId="31">BlankMacro1</definedName>
    <definedName name="템플리트모듈3" localSheetId="38">BlankMacro1</definedName>
    <definedName name="템플리트모듈3" localSheetId="18">BlankMacro1</definedName>
    <definedName name="템플리트모듈3" localSheetId="22">BlankMacro1</definedName>
    <definedName name="템플리트모듈3" localSheetId="17">BlankMacro1</definedName>
    <definedName name="템플리트모듈4" localSheetId="23">BlankMacro1</definedName>
    <definedName name="템플리트모듈4" localSheetId="45">BlankMacro1</definedName>
    <definedName name="템플리트모듈4" localSheetId="31">BlankMacro1</definedName>
    <definedName name="템플리트모듈4" localSheetId="38">BlankMacro1</definedName>
    <definedName name="템플리트모듈4" localSheetId="18">BlankMacro1</definedName>
    <definedName name="템플리트모듈4" localSheetId="22">BlankMacro1</definedName>
    <definedName name="템플리트모듈4" localSheetId="17">BlankMacro1</definedName>
    <definedName name="템플리트모듈5" localSheetId="23">BlankMacro1</definedName>
    <definedName name="템플리트모듈5" localSheetId="45">BlankMacro1</definedName>
    <definedName name="템플리트모듈5" localSheetId="31">BlankMacro1</definedName>
    <definedName name="템플리트모듈5" localSheetId="38">BlankMacro1</definedName>
    <definedName name="템플리트모듈5" localSheetId="18">BlankMacro1</definedName>
    <definedName name="템플리트모듈5" localSheetId="22">BlankMacro1</definedName>
    <definedName name="템플리트모듈5" localSheetId="17">BlankMacro1</definedName>
    <definedName name="템플리트모듈6" localSheetId="23">BlankMacro1</definedName>
    <definedName name="템플리트모듈6" localSheetId="45">BlankMacro1</definedName>
    <definedName name="템플리트모듈6" localSheetId="31">BlankMacro1</definedName>
    <definedName name="템플리트모듈6" localSheetId="38">BlankMacro1</definedName>
    <definedName name="템플리트모듈6" localSheetId="18">BlankMacro1</definedName>
    <definedName name="템플리트모듈6" localSheetId="22">BlankMacro1</definedName>
    <definedName name="템플리트모듈6" localSheetId="17">BlankMacro1</definedName>
    <definedName name="토목설계" localSheetId="23" hidden="1">{#N/A,#N/A,FALSE,"골재소요량";#N/A,#N/A,FALSE,"골재소요량"}</definedName>
    <definedName name="토목설계" localSheetId="45" hidden="1">{#N/A,#N/A,FALSE,"골재소요량";#N/A,#N/A,FALSE,"골재소요량"}</definedName>
    <definedName name="토목설계" localSheetId="31" hidden="1">{#N/A,#N/A,FALSE,"골재소요량";#N/A,#N/A,FALSE,"골재소요량"}</definedName>
    <definedName name="토목설계" localSheetId="15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14" hidden="1">{#N/A,#N/A,FALSE,"골재소요량";#N/A,#N/A,FALSE,"골재소요량"}</definedName>
    <definedName name="토목설계" localSheetId="17" hidden="1">{#N/A,#N/A,FALSE,"골재소요량";#N/A,#N/A,FALSE,"골재소요량"}</definedName>
    <definedName name="토목설계" hidden="1">{#N/A,#N/A,FALSE,"골재소요량";#N/A,#N/A,FALSE,"골재소요량"}</definedName>
    <definedName name="토목집계" localSheetId="23">#REF!</definedName>
    <definedName name="통신" localSheetId="23">BlankMacro1</definedName>
    <definedName name="통신" localSheetId="45">BlankMacro1</definedName>
    <definedName name="통신" localSheetId="31">BlankMacro1</definedName>
    <definedName name="통신" localSheetId="38">BlankMacro1</definedName>
    <definedName name="통신" localSheetId="18">BlankMacro1</definedName>
    <definedName name="통신" localSheetId="22">BlankMacro1</definedName>
    <definedName name="통신" localSheetId="17">BlankMacro1</definedName>
    <definedName name="통신일위대가" localSheetId="23">BlankMacro1</definedName>
    <definedName name="통신일위대가" localSheetId="17">BlankMacro1</definedName>
    <definedName name="통신집계" localSheetId="23">BlankMacro1</definedName>
    <definedName name="통신집계" localSheetId="45">BlankMacro1</definedName>
    <definedName name="통신집계" localSheetId="31">BlankMacro1</definedName>
    <definedName name="통신집계" localSheetId="38">BlankMacro1</definedName>
    <definedName name="통신집계" localSheetId="18">BlankMacro1</definedName>
    <definedName name="통신집계" localSheetId="22">BlankMacro1</definedName>
    <definedName name="통신집계" localSheetId="17">BlankMacro1</definedName>
    <definedName name="통합" localSheetId="23">'가로등 (2)'!통합</definedName>
    <definedName name="통합" localSheetId="31">'고재산출(STS)'!통합</definedName>
    <definedName name="통합" localSheetId="17">'표지4-'!통합</definedName>
    <definedName name="투찰원가" localSheetId="45" hidden="1">{#N/A,#N/A,FALSE,"2~8번"}</definedName>
    <definedName name="투찰원가" hidden="1">{#N/A,#N/A,FALSE,"2~8번"}</definedName>
    <definedName name="틀공" localSheetId="23">#REF!</definedName>
    <definedName name="파초" localSheetId="23">BlankMacro1</definedName>
    <definedName name="파초" localSheetId="31">BlankMacro1</definedName>
    <definedName name="파초" localSheetId="17">BlankMacro1</definedName>
    <definedName name="파호" localSheetId="23">BlankMacro1</definedName>
    <definedName name="파호" localSheetId="17">BlankMacro1</definedName>
    <definedName name="파호초" localSheetId="23">BlankMacro1</definedName>
    <definedName name="파호초" localSheetId="31">BlankMacro1</definedName>
    <definedName name="파호초" localSheetId="17">BlankMacro1</definedName>
    <definedName name="팔" localSheetId="33" hidden="1">#REF!</definedName>
    <definedName name="팔" localSheetId="7" hidden="1">#REF!</definedName>
    <definedName name="팔" localSheetId="48" hidden="1">#REF!</definedName>
    <definedName name="팔" localSheetId="32" hidden="1">#REF!</definedName>
    <definedName name="팔" hidden="1">#REF!</definedName>
    <definedName name="퍼호" localSheetId="23">BlankMacro1</definedName>
    <definedName name="퍼호" localSheetId="31">BlankMacro1</definedName>
    <definedName name="퍼호" localSheetId="17">BlankMacro1</definedName>
    <definedName name="폐기물집계표" localSheetId="23">'가로등 (2)'!집</definedName>
    <definedName name="폐기물집계표" localSheetId="17">'표지4-'!집</definedName>
    <definedName name="표지2" localSheetId="23" hidden="1">{#N/A,#N/A,FALSE,"단가표지"}</definedName>
    <definedName name="표지2" localSheetId="45" hidden="1">{#N/A,#N/A,FALSE,"단가표지"}</definedName>
    <definedName name="표지2" localSheetId="31" hidden="1">{#N/A,#N/A,FALSE,"단가표지"}</definedName>
    <definedName name="표지2" localSheetId="15" hidden="1">{#N/A,#N/A,FALSE,"단가표지"}</definedName>
    <definedName name="표지2" localSheetId="3" hidden="1">{#N/A,#N/A,FALSE,"단가표지"}</definedName>
    <definedName name="표지2" localSheetId="14" hidden="1">{#N/A,#N/A,FALSE,"단가표지"}</definedName>
    <definedName name="표지2" localSheetId="17" hidden="1">{#N/A,#N/A,FALSE,"단가표지"}</definedName>
    <definedName name="표지2" hidden="1">{#N/A,#N/A,FALSE,"단가표지"}</definedName>
    <definedName name="품위내역서" localSheetId="23">BlankMacro1</definedName>
    <definedName name="품위내역서" localSheetId="45">BlankMacro1</definedName>
    <definedName name="품위내역서" localSheetId="31">BlankMacro1</definedName>
    <definedName name="품위내역서" localSheetId="38">BlankMacro1</definedName>
    <definedName name="품위내역서" localSheetId="18">BlankMacro1</definedName>
    <definedName name="품위내역서" localSheetId="22">BlankMacro1</definedName>
    <definedName name="품위내역서" localSheetId="17">BlankMacro1</definedName>
    <definedName name="필터링" localSheetId="23">#REF!,#REF!,#REF!</definedName>
    <definedName name="ㅎㄹㄹ" localSheetId="23">BlankMacro1</definedName>
    <definedName name="ㅎㄹㄹ" localSheetId="17">BlankMacro1</definedName>
    <definedName name="ㅎㄹㅇ" localSheetId="23">BlankMacro1</definedName>
    <definedName name="ㅎㄹㅇ" localSheetId="17">BlankMacro1</definedName>
    <definedName name="ㅎㅎㄹㅇㄴ" localSheetId="23">BlankMacro1</definedName>
    <definedName name="ㅎㅎㄹㅇㄴ" localSheetId="17">BlankMacro1</definedName>
    <definedName name="ㅎㅎㅎ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23">BlankMacro1</definedName>
    <definedName name="ㅎㅎㅎㅎ" localSheetId="17">BlankMacro1</definedName>
    <definedName name="하나" localSheetId="23">BlankMacro1</definedName>
    <definedName name="하나" localSheetId="17">BlankMacro1</definedName>
    <definedName name="하나2" localSheetId="23">BlankMacro1</definedName>
    <definedName name="하나2" localSheetId="17">BlankMacro1</definedName>
    <definedName name="하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 localSheetId="23">BlankMacro1</definedName>
    <definedName name="하라" localSheetId="17">BlankMacro1</definedName>
    <definedName name="하리" localSheetId="23">BlankMacro1</definedName>
    <definedName name="하리" localSheetId="17">BlankMacro1</definedName>
    <definedName name="하수도2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" localSheetId="23">BlankMacro1</definedName>
    <definedName name="하이" localSheetId="17">BlankMacro1</definedName>
    <definedName name="하하하" localSheetId="45" hidden="1">{#N/A,#N/A,FALSE,"단가표지"}</definedName>
    <definedName name="하하하" hidden="1">{#N/A,#N/A,FALSE,"단가표지"}</definedName>
    <definedName name="하히" localSheetId="23">BlankMacro1</definedName>
    <definedName name="하히" localSheetId="17">BlankMacro1</definedName>
    <definedName name="학교" localSheetId="23">BlankMacro1</definedName>
    <definedName name="학교" localSheetId="31">BlankMacro1</definedName>
    <definedName name="학교" localSheetId="17">BlankMacro1</definedName>
    <definedName name="한" localSheetId="33" hidden="1">#REF!</definedName>
    <definedName name="한" localSheetId="7" hidden="1">#REF!</definedName>
    <definedName name="한" localSheetId="48" hidden="1">#REF!</definedName>
    <definedName name="한" localSheetId="32" hidden="1">#REF!</definedName>
    <definedName name="한" hidden="1">#REF!</definedName>
    <definedName name="한전수탁비" localSheetId="45">#REF!</definedName>
    <definedName name="한전수탁비" localSheetId="31">#REF!</definedName>
    <definedName name="한전수탁비" localSheetId="38">#REF!</definedName>
    <definedName name="한전수탁비" localSheetId="18">#REF!</definedName>
    <definedName name="허하" localSheetId="23">BlankMacro1</definedName>
    <definedName name="허하" localSheetId="17">BlankMacro1</definedName>
    <definedName name="허ㅗ러" localSheetId="23">BlankMacro1</definedName>
    <definedName name="허ㅗ러" localSheetId="17">BlankMacro1</definedName>
    <definedName name="현흥" localSheetId="23">BlankMacro1</definedName>
    <definedName name="현흥" localSheetId="31">BlankMacro1</definedName>
    <definedName name="현흥" localSheetId="17">BlankMacro1</definedName>
    <definedName name="현흥초" localSheetId="23">BlankMacro1</definedName>
    <definedName name="현흥초" localSheetId="31">BlankMacro1</definedName>
    <definedName name="현흥초" localSheetId="17">BlankMacro1</definedName>
    <definedName name="현흥초등" localSheetId="23">BlankMacro1</definedName>
    <definedName name="현흥초등" localSheetId="31">BlankMacro1</definedName>
    <definedName name="현흥초등" localSheetId="17">BlankMacro1</definedName>
    <definedName name="호" localSheetId="23">#REF!</definedName>
    <definedName name="호나" localSheetId="23">BlankMacro1</definedName>
    <definedName name="호나" localSheetId="17">BlankMacro1</definedName>
    <definedName name="호라" localSheetId="23">BlankMacro1</definedName>
    <definedName name="호라" localSheetId="17">BlankMacro1</definedName>
    <definedName name="호로" localSheetId="23">BlankMacro1</definedName>
    <definedName name="호로" localSheetId="17">BlankMacro1</definedName>
    <definedName name="호박" localSheetId="23">#REF!</definedName>
    <definedName name="호사" localSheetId="23">BlankMacro1</definedName>
    <definedName name="호사" localSheetId="17">BlankMacro1</definedName>
    <definedName name="호아" localSheetId="23">BlankMacro1</definedName>
    <definedName name="호아" localSheetId="17">BlankMacro1</definedName>
    <definedName name="호하" localSheetId="23">BlankMacro1</definedName>
    <definedName name="호하" localSheetId="17">BlankMacro1</definedName>
    <definedName name="호호" localSheetId="23">BlankMacro1</definedName>
    <definedName name="호호" localSheetId="17">BlankMacro1</definedName>
    <definedName name="호ㅓㅎㄹ" localSheetId="23">BlankMacro1</definedName>
    <definedName name="호ㅓㅎㄹ" localSheetId="17">BlankMacro1</definedName>
    <definedName name="화장" localSheetId="23">BlankMacro1</definedName>
    <definedName name="화장" localSheetId="17">BlankMacro1</definedName>
    <definedName name="황" localSheetId="23">'가로등 (2)'!황</definedName>
    <definedName name="황" localSheetId="31">'고재산출(STS)'!황</definedName>
    <definedName name="황" localSheetId="17">'표지4-'!황</definedName>
    <definedName name="효구" localSheetId="23">Dlog_Show</definedName>
    <definedName name="효구" localSheetId="31">Dlog_Show</definedName>
    <definedName name="효구" localSheetId="17">Dlog_Show</definedName>
    <definedName name="효자" localSheetId="23">Dlog_Show</definedName>
    <definedName name="효자" localSheetId="31">Dlog_Show</definedName>
    <definedName name="효자" localSheetId="17">Dlog_Show</definedName>
    <definedName name="효자건설" localSheetId="23">Dlog_Show</definedName>
    <definedName name="효자건설" localSheetId="31">Dlog_Show</definedName>
    <definedName name="효자건설" localSheetId="17">Dlog_Show</definedName>
    <definedName name="ㅏ" localSheetId="23">#REF!</definedName>
    <definedName name="ㅏㅏ" localSheetId="23">BlankMacro1</definedName>
    <definedName name="ㅏㅏ" localSheetId="17">BlankMacro1</definedName>
    <definedName name="ㅏㅏㅏ" localSheetId="23">#REF!</definedName>
    <definedName name="ㅏㅏㅏ갸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localSheetId="23">#REF!</definedName>
    <definedName name="ㅏㅏㅏㅏㅏ" localSheetId="23">#REF!</definedName>
    <definedName name="ㅏㅏㅣ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localSheetId="33" hidden="1">#REF!</definedName>
    <definedName name="ㅐㅔ" localSheetId="7" hidden="1">#REF!</definedName>
    <definedName name="ㅐㅔ" localSheetId="48" hidden="1">#REF!</definedName>
    <definedName name="ㅐㅔ" localSheetId="32" hidden="1">#REF!</definedName>
    <definedName name="ㅐㅔ" hidden="1">#REF!</definedName>
    <definedName name="ㅑㅑㅑ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라ㅣㅁㅇ" localSheetId="23">BlankMacro1</definedName>
    <definedName name="ㅓ라ㅣㅁㅇ" localSheetId="17">BlankMacro1</definedName>
    <definedName name="ㅓㅓ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ㅛ" localSheetId="23">BlankMacro1</definedName>
    <definedName name="ㅓㅗㅛ" localSheetId="17">BlankMacro1</definedName>
    <definedName name="ㅔㅐ" localSheetId="33" hidden="1">#REF!</definedName>
    <definedName name="ㅔㅐ" localSheetId="7" hidden="1">#REF!</definedName>
    <definedName name="ㅔㅐ" localSheetId="48" hidden="1">#REF!</definedName>
    <definedName name="ㅔㅐ" localSheetId="32" hidden="1">#REF!</definedName>
    <definedName name="ㅔㅐ" hidden="1">#REF!</definedName>
    <definedName name="ㅔㅐㅑㅕ" localSheetId="23">BlankMacro1</definedName>
    <definedName name="ㅔㅐㅑㅕ" localSheetId="17">BlankMacro1</definedName>
    <definedName name="ㅕ168" localSheetId="18">#REF!</definedName>
    <definedName name="ㅕ168" localSheetId="22">#REF!</definedName>
    <definedName name="ㅕㅑ" localSheetId="33" hidden="1">#REF!</definedName>
    <definedName name="ㅕㅑ" localSheetId="7" hidden="1">#REF!</definedName>
    <definedName name="ㅕㅑ" localSheetId="48" hidden="1">#REF!</definedName>
    <definedName name="ㅕㅑ" localSheetId="32" hidden="1">#REF!</definedName>
    <definedName name="ㅕㅑ" hidden="1">#REF!</definedName>
    <definedName name="ㅕㅑㅐㅔ" localSheetId="33" hidden="1">#REF!</definedName>
    <definedName name="ㅕㅑㅐㅔ" localSheetId="7" hidden="1">#REF!</definedName>
    <definedName name="ㅕㅑㅐㅔ" localSheetId="48" hidden="1">#REF!</definedName>
    <definedName name="ㅕㅑㅐㅔ" localSheetId="32" hidden="1">#REF!</definedName>
    <definedName name="ㅕㅑㅐㅔ" hidden="1">#REF!</definedName>
    <definedName name="ㅕㅕㅕㅕㅕㅕㅕㅕㅕㅕㅕㅕㅕㅕㅛ" localSheetId="23">BlankMacro1</definedName>
    <definedName name="ㅕㅕㅕㅕㅕㅕㅕㅕㅕㅕㅕㅕㅕㅕㅛ" localSheetId="17">BlankMacro1</definedName>
    <definedName name="ㅗ마ㅓ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ㄱ" localSheetId="23">BlankMacro1</definedName>
    <definedName name="ㅗㅛㄱ" localSheetId="17">BlankMacro1</definedName>
    <definedName name="ㅛㅅㄱ" localSheetId="23">BlankMacro1</definedName>
    <definedName name="ㅛㅅㄱ" localSheetId="17">BlankMacro1</definedName>
    <definedName name="ㅛㅕㅑ" localSheetId="23">BlankMacro1</definedName>
    <definedName name="ㅛㅕㅑ" localSheetId="17">BlankMacro1</definedName>
    <definedName name="ㅛㅛㅕㅕㅛㅕㅅ" localSheetId="23">BlankMacro1</definedName>
    <definedName name="ㅛㅛㅕㅕㅛㅕㅅ" localSheetId="17">BlankMacro1</definedName>
    <definedName name="ㅛㅛㅛㅛㅛ" localSheetId="23">BlankMacro1</definedName>
    <definedName name="ㅛㅛㅛㅛㅛ" localSheetId="17">BlankMacro1</definedName>
    <definedName name="ㅜㅜ" localSheetId="23">BlankMacro1</definedName>
    <definedName name="ㅜㅜ" localSheetId="45">BlankMacro1</definedName>
    <definedName name="ㅜㅜ" localSheetId="31">BlankMacro1</definedName>
    <definedName name="ㅜㅜ" localSheetId="38">BlankMacro1</definedName>
    <definedName name="ㅜㅜ" localSheetId="18">BlankMacro1</definedName>
    <definedName name="ㅜㅜ" localSheetId="22">BlankMacro1</definedName>
    <definedName name="ㅜㅜ" localSheetId="17">BlankMacro1</definedName>
    <definedName name="ㅡ" localSheetId="23">#REF!</definedName>
    <definedName name="ㅡㅏㅑㅓ" localSheetId="23">BlankMacro1</definedName>
    <definedName name="ㅡㅏㅑㅓ" localSheetId="17">BlankMacro1</definedName>
    <definedName name="ㅣ" localSheetId="23">#REF!</definedName>
    <definedName name="ㅣㅏ아ㅓ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45" hidden="1">{#N/A,#N/A,FALSE,"단가표지"}</definedName>
    <definedName name="ㅣㅑㅑ" hidden="1">{#N/A,#N/A,FALSE,"단가표지"}</definedName>
    <definedName name="ㅣㅣㅣ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4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3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23">BlankMacro1</definedName>
    <definedName name="ㅣㅣㅣㅣ" localSheetId="17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4" i="345" l="1"/>
  <c r="A6" i="356" l="1"/>
  <c r="F28" i="826"/>
  <c r="C363" i="135" l="1"/>
  <c r="A5" i="357"/>
  <c r="A13" i="357" s="1"/>
  <c r="S8" i="822" l="1"/>
  <c r="M8" i="822"/>
  <c r="O13" i="762" l="1"/>
  <c r="B46" i="348" l="1"/>
  <c r="E522" i="135" l="1"/>
  <c r="D12" i="822" l="1"/>
  <c r="D9" i="356"/>
  <c r="C9" i="356"/>
  <c r="B9" i="356"/>
  <c r="L42" i="357"/>
  <c r="K41" i="357"/>
  <c r="K40" i="357"/>
  <c r="I40" i="357"/>
  <c r="K38" i="357"/>
  <c r="K43" i="357" s="1"/>
  <c r="I38" i="357"/>
  <c r="C17" i="348" l="1"/>
  <c r="B17" i="348"/>
  <c r="A17" i="348"/>
  <c r="C16" i="348"/>
  <c r="B16" i="348"/>
  <c r="A16" i="348"/>
  <c r="C15" i="348"/>
  <c r="B15" i="348"/>
  <c r="A15" i="348"/>
  <c r="C14" i="348"/>
  <c r="B14" i="348"/>
  <c r="A14" i="348"/>
  <c r="C13" i="348"/>
  <c r="B13" i="348"/>
  <c r="A13" i="348"/>
  <c r="C12" i="348"/>
  <c r="B12" i="348"/>
  <c r="A12" i="348"/>
  <c r="D17" i="822"/>
  <c r="D16" i="822" s="1"/>
  <c r="D13" i="822"/>
  <c r="D15" i="822" s="1"/>
  <c r="D14" i="822" l="1"/>
  <c r="J23" i="762" l="1"/>
  <c r="L23" i="762" s="1"/>
  <c r="M11" i="822"/>
  <c r="M5" i="822"/>
  <c r="C46" i="348"/>
  <c r="A46" i="348"/>
  <c r="J22" i="762"/>
  <c r="L22" i="762" s="1"/>
  <c r="D46" i="348" s="1"/>
  <c r="F46" i="348" s="1"/>
  <c r="K46" i="348" s="1"/>
  <c r="J17" i="822"/>
  <c r="L17" i="822" s="1"/>
  <c r="D17" i="348" s="1"/>
  <c r="J16" i="822"/>
  <c r="L16" i="822" s="1"/>
  <c r="D16" i="348" s="1"/>
  <c r="J15" i="822"/>
  <c r="L15" i="822" s="1"/>
  <c r="D15" i="348" s="1"/>
  <c r="C11" i="348"/>
  <c r="B11" i="348"/>
  <c r="A11" i="348"/>
  <c r="A29" i="348"/>
  <c r="B29" i="348"/>
  <c r="C29" i="348"/>
  <c r="A30" i="348"/>
  <c r="B30" i="348"/>
  <c r="C30" i="348"/>
  <c r="A31" i="348"/>
  <c r="B31" i="348"/>
  <c r="C31" i="348"/>
  <c r="A32" i="348"/>
  <c r="B32" i="348"/>
  <c r="C32" i="348"/>
  <c r="A33" i="348"/>
  <c r="B33" i="348"/>
  <c r="C33" i="348"/>
  <c r="A34" i="348"/>
  <c r="B34" i="348"/>
  <c r="C34" i="348"/>
  <c r="A35" i="348"/>
  <c r="B35" i="348"/>
  <c r="C35" i="348"/>
  <c r="A36" i="348"/>
  <c r="B36" i="348"/>
  <c r="C36" i="348"/>
  <c r="A37" i="348"/>
  <c r="B37" i="348"/>
  <c r="C37" i="348"/>
  <c r="A38" i="348"/>
  <c r="B38" i="348"/>
  <c r="C38" i="348"/>
  <c r="A39" i="348"/>
  <c r="B39" i="348"/>
  <c r="C39" i="348"/>
  <c r="A40" i="348"/>
  <c r="B40" i="348"/>
  <c r="C40" i="348"/>
  <c r="A41" i="348"/>
  <c r="B41" i="348"/>
  <c r="C41" i="348"/>
  <c r="A42" i="348"/>
  <c r="B42" i="348"/>
  <c r="C42" i="348"/>
  <c r="O16" i="762"/>
  <c r="O14" i="762"/>
  <c r="O12" i="762"/>
  <c r="M8" i="762"/>
  <c r="A28" i="348"/>
  <c r="B28" i="348"/>
  <c r="C28" i="348"/>
  <c r="M10" i="762"/>
  <c r="M9" i="762"/>
  <c r="O17" i="762"/>
  <c r="O15" i="762"/>
  <c r="O11" i="762"/>
  <c r="A4" i="348"/>
  <c r="B4" i="348"/>
  <c r="C4" i="348"/>
  <c r="A5" i="348"/>
  <c r="B5" i="348"/>
  <c r="C5" i="348"/>
  <c r="A6" i="348"/>
  <c r="B6" i="348"/>
  <c r="C6" i="348"/>
  <c r="A7" i="348"/>
  <c r="B7" i="348"/>
  <c r="C7" i="348"/>
  <c r="A8" i="348"/>
  <c r="B8" i="348"/>
  <c r="C8" i="348"/>
  <c r="A9" i="348"/>
  <c r="B9" i="348"/>
  <c r="C9" i="348"/>
  <c r="A10" i="348"/>
  <c r="B10" i="348"/>
  <c r="C10" i="348"/>
  <c r="O6" i="822"/>
  <c r="J9" i="822"/>
  <c r="A43" i="348"/>
  <c r="B43" i="348"/>
  <c r="C43" i="348"/>
  <c r="A44" i="348"/>
  <c r="B44" i="348"/>
  <c r="C44" i="348"/>
  <c r="A45" i="348"/>
  <c r="B45" i="348"/>
  <c r="C45" i="348"/>
  <c r="L16" i="763"/>
  <c r="L25" i="763"/>
  <c r="J10" i="763"/>
  <c r="L23" i="763"/>
  <c r="J17" i="763"/>
  <c r="K8" i="763"/>
  <c r="J4" i="763"/>
  <c r="K22" i="763"/>
  <c r="J12" i="763"/>
  <c r="K5" i="763"/>
  <c r="J11" i="763"/>
  <c r="L14" i="763"/>
  <c r="J15" i="763"/>
  <c r="L15" i="763"/>
  <c r="K15" i="763"/>
  <c r="K9" i="763"/>
  <c r="K11" i="763"/>
  <c r="J22" i="763"/>
  <c r="L5" i="763"/>
  <c r="L18" i="763"/>
  <c r="J23" i="763"/>
  <c r="L12" i="763"/>
  <c r="K4" i="763"/>
  <c r="L10" i="763"/>
  <c r="J5" i="763"/>
  <c r="J7" i="763"/>
  <c r="L7" i="763"/>
  <c r="L20" i="763"/>
  <c r="K21" i="763"/>
  <c r="L13" i="763"/>
  <c r="K14" i="763"/>
  <c r="J8" i="763"/>
  <c r="L8" i="763"/>
  <c r="K12" i="763"/>
  <c r="L6" i="763"/>
  <c r="J13" i="763"/>
  <c r="J9" i="763"/>
  <c r="J24" i="763"/>
  <c r="L24" i="763"/>
  <c r="L4" i="763"/>
  <c r="L9" i="763"/>
  <c r="J20" i="763"/>
  <c r="J6" i="763"/>
  <c r="K17" i="763"/>
  <c r="L21" i="763"/>
  <c r="L17" i="763"/>
  <c r="J16" i="763"/>
  <c r="J18" i="763"/>
  <c r="K13" i="763"/>
  <c r="K25" i="763"/>
  <c r="L22" i="763"/>
  <c r="K16" i="763"/>
  <c r="J14" i="763"/>
  <c r="K6" i="763"/>
  <c r="K20" i="763"/>
  <c r="L19" i="763"/>
  <c r="K24" i="763"/>
  <c r="J25" i="763"/>
  <c r="K18" i="763"/>
  <c r="K23" i="763"/>
  <c r="J19" i="763"/>
  <c r="L11" i="763"/>
  <c r="K7" i="763"/>
  <c r="J21" i="763"/>
  <c r="K10" i="763"/>
  <c r="K19" i="763"/>
  <c r="H17" i="348" l="1"/>
  <c r="F17" i="348"/>
  <c r="K17" i="348" s="1"/>
  <c r="D16" i="762"/>
  <c r="J16" i="762" s="1"/>
  <c r="P9" i="822"/>
  <c r="L9" i="822"/>
  <c r="D9" i="348" s="1"/>
  <c r="N9" i="822"/>
  <c r="P16" i="762" l="1"/>
  <c r="N16" i="762"/>
  <c r="L16" i="762"/>
  <c r="D40" i="348" s="1"/>
  <c r="L22" i="356" l="1"/>
  <c r="L453" i="135" l="1"/>
  <c r="L454" i="135"/>
  <c r="L455" i="135"/>
  <c r="E455" i="135" s="1"/>
  <c r="L456" i="135"/>
  <c r="E456" i="135" s="1"/>
  <c r="L457" i="135"/>
  <c r="E457" i="135" s="1"/>
  <c r="L458" i="135"/>
  <c r="L459" i="135"/>
  <c r="A453" i="135"/>
  <c r="B453" i="135"/>
  <c r="A454" i="135"/>
  <c r="B454" i="135"/>
  <c r="A455" i="135"/>
  <c r="B455" i="135"/>
  <c r="A456" i="135"/>
  <c r="B456" i="135"/>
  <c r="A457" i="135"/>
  <c r="B457" i="135"/>
  <c r="A458" i="135"/>
  <c r="B458" i="135"/>
  <c r="A459" i="135"/>
  <c r="B459" i="135"/>
  <c r="A478" i="135"/>
  <c r="B478" i="135"/>
  <c r="A479" i="135"/>
  <c r="B479" i="135"/>
  <c r="A480" i="135"/>
  <c r="B480" i="135"/>
  <c r="A481" i="135"/>
  <c r="B481" i="135"/>
  <c r="A482" i="135"/>
  <c r="B482" i="135"/>
  <c r="A483" i="135"/>
  <c r="B483" i="135"/>
  <c r="A484" i="135"/>
  <c r="B484" i="135"/>
  <c r="A485" i="135"/>
  <c r="B485" i="135"/>
  <c r="A486" i="135"/>
  <c r="B486" i="135"/>
  <c r="A487" i="135"/>
  <c r="B487" i="135"/>
  <c r="A488" i="135"/>
  <c r="B488" i="135"/>
  <c r="A489" i="135"/>
  <c r="B489" i="135"/>
  <c r="A490" i="135"/>
  <c r="B490" i="135"/>
  <c r="A491" i="135"/>
  <c r="B491" i="135"/>
  <c r="A492" i="135"/>
  <c r="B492" i="135"/>
  <c r="A493" i="135"/>
  <c r="B493" i="135"/>
  <c r="A494" i="135"/>
  <c r="B494" i="135"/>
  <c r="A495" i="135"/>
  <c r="B495" i="135"/>
  <c r="A496" i="135"/>
  <c r="B496" i="135"/>
  <c r="A497" i="135"/>
  <c r="B497" i="135"/>
  <c r="A498" i="135"/>
  <c r="B498" i="135"/>
  <c r="A499" i="135"/>
  <c r="B499" i="135"/>
  <c r="A500" i="135"/>
  <c r="B500" i="135"/>
  <c r="A501" i="135"/>
  <c r="B501" i="135"/>
  <c r="A502" i="135"/>
  <c r="B502" i="135"/>
  <c r="A503" i="135"/>
  <c r="B503" i="135"/>
  <c r="A504" i="135"/>
  <c r="B504" i="135"/>
  <c r="A505" i="135"/>
  <c r="B505" i="135"/>
  <c r="A506" i="135"/>
  <c r="B506" i="135"/>
  <c r="A507" i="135"/>
  <c r="B507" i="135"/>
  <c r="A508" i="135"/>
  <c r="B508" i="135"/>
  <c r="A509" i="135"/>
  <c r="B509" i="135"/>
  <c r="A510" i="135"/>
  <c r="B510" i="135"/>
  <c r="A511" i="135"/>
  <c r="B511" i="135"/>
  <c r="A512" i="135"/>
  <c r="B512" i="135"/>
  <c r="A513" i="135"/>
  <c r="B513" i="135"/>
  <c r="A514" i="135"/>
  <c r="B514" i="135"/>
  <c r="A515" i="135"/>
  <c r="B515" i="135"/>
  <c r="A516" i="135"/>
  <c r="B516" i="135"/>
  <c r="A517" i="135"/>
  <c r="B517" i="135"/>
  <c r="A518" i="135"/>
  <c r="B518" i="135"/>
  <c r="A519" i="135"/>
  <c r="B519" i="135"/>
  <c r="A520" i="135"/>
  <c r="B520" i="135"/>
  <c r="A521" i="135"/>
  <c r="B521" i="135"/>
  <c r="C456" i="135" l="1"/>
  <c r="C455" i="135"/>
  <c r="C457" i="135"/>
  <c r="C57" i="482" l="1"/>
  <c r="B57" i="482"/>
  <c r="B51" i="482"/>
  <c r="C51" i="482"/>
  <c r="B52" i="482"/>
  <c r="C52" i="482"/>
  <c r="B53" i="482"/>
  <c r="C53" i="482"/>
  <c r="B54" i="482"/>
  <c r="C54" i="482"/>
  <c r="B55" i="482"/>
  <c r="C55" i="482"/>
  <c r="B56" i="482"/>
  <c r="C56" i="482"/>
  <c r="B28" i="482"/>
  <c r="C28" i="482"/>
  <c r="B29" i="482"/>
  <c r="C29" i="482"/>
  <c r="B30" i="482"/>
  <c r="C30" i="482"/>
  <c r="B31" i="482"/>
  <c r="C31" i="482"/>
  <c r="B32" i="482"/>
  <c r="C32" i="482"/>
  <c r="B33" i="482"/>
  <c r="C33" i="482"/>
  <c r="B34" i="482"/>
  <c r="C34" i="482"/>
  <c r="B35" i="482"/>
  <c r="C35" i="482"/>
  <c r="B36" i="482"/>
  <c r="C36" i="482"/>
  <c r="G28" i="482"/>
  <c r="L28" i="482" s="1"/>
  <c r="D7" i="356" l="1"/>
  <c r="C7" i="356"/>
  <c r="B7" i="356"/>
  <c r="K7" i="356"/>
  <c r="C24" i="357"/>
  <c r="L26" i="357"/>
  <c r="K25" i="357"/>
  <c r="K24" i="357"/>
  <c r="I24" i="357"/>
  <c r="K22" i="357"/>
  <c r="I22" i="357"/>
  <c r="M18" i="762"/>
  <c r="M7" i="762"/>
  <c r="E52" i="482" l="1"/>
  <c r="E53" i="482"/>
  <c r="E56" i="482"/>
  <c r="K27" i="357"/>
  <c r="J18" i="762" l="1"/>
  <c r="L18" i="762" s="1"/>
  <c r="D42" i="348" s="1"/>
  <c r="N18" i="762" l="1"/>
  <c r="D12" i="762" l="1"/>
  <c r="E57" i="482"/>
  <c r="G57" i="482" s="1"/>
  <c r="L57" i="482" s="1"/>
  <c r="G36" i="482"/>
  <c r="L36" i="482" s="1"/>
  <c r="G35" i="482"/>
  <c r="L35" i="482" s="1"/>
  <c r="G34" i="482"/>
  <c r="L34" i="482" s="1"/>
  <c r="G32" i="482"/>
  <c r="L32" i="482" s="1"/>
  <c r="G27" i="482" l="1"/>
  <c r="C27" i="482"/>
  <c r="B27" i="482"/>
  <c r="G30" i="482"/>
  <c r="L30" i="482" s="1"/>
  <c r="G31" i="482"/>
  <c r="L31" i="482" s="1"/>
  <c r="G33" i="482"/>
  <c r="L33" i="482" s="1"/>
  <c r="L27" i="482" l="1"/>
  <c r="M17" i="824"/>
  <c r="M4" i="816"/>
  <c r="L18" i="823"/>
  <c r="K18" i="823"/>
  <c r="J18" i="823"/>
  <c r="C464" i="135" l="1"/>
  <c r="C465" i="135"/>
  <c r="C466" i="135"/>
  <c r="C467" i="135"/>
  <c r="C468" i="135"/>
  <c r="C469" i="135"/>
  <c r="C470" i="135"/>
  <c r="C471" i="135"/>
  <c r="C472" i="135"/>
  <c r="C473" i="135"/>
  <c r="C474" i="135"/>
  <c r="C475" i="135"/>
  <c r="C476" i="135"/>
  <c r="C477" i="135"/>
  <c r="C478" i="135"/>
  <c r="C479" i="135"/>
  <c r="C480" i="135"/>
  <c r="C481" i="135"/>
  <c r="C482" i="135"/>
  <c r="C483" i="135"/>
  <c r="C484" i="135"/>
  <c r="C485" i="135"/>
  <c r="C486" i="135"/>
  <c r="C487" i="135"/>
  <c r="C488" i="135"/>
  <c r="C489" i="135"/>
  <c r="C490" i="135"/>
  <c r="C491" i="135"/>
  <c r="C492" i="135"/>
  <c r="C493" i="135"/>
  <c r="C494" i="135"/>
  <c r="C495" i="135"/>
  <c r="C496" i="135"/>
  <c r="C497" i="135"/>
  <c r="C498" i="135"/>
  <c r="C499" i="135"/>
  <c r="C500" i="135"/>
  <c r="C501" i="135"/>
  <c r="C502" i="135"/>
  <c r="C503" i="135"/>
  <c r="C504" i="135"/>
  <c r="C505" i="135"/>
  <c r="C506" i="135"/>
  <c r="C507" i="135"/>
  <c r="C508" i="135"/>
  <c r="C509" i="135"/>
  <c r="C510" i="135"/>
  <c r="C511" i="135"/>
  <c r="C512" i="135"/>
  <c r="C513" i="135"/>
  <c r="C514" i="135"/>
  <c r="C515" i="135"/>
  <c r="C516" i="135"/>
  <c r="C517" i="135"/>
  <c r="C518" i="135"/>
  <c r="C519" i="135"/>
  <c r="C520" i="135"/>
  <c r="C133" i="135"/>
  <c r="E133" i="135"/>
  <c r="D13" i="762" l="1"/>
  <c r="J39" i="820"/>
  <c r="T39" i="820" s="1"/>
  <c r="J46" i="820"/>
  <c r="T46" i="820" s="1"/>
  <c r="J45" i="820"/>
  <c r="P45" i="820" s="1"/>
  <c r="J44" i="820"/>
  <c r="L44" i="820" s="1"/>
  <c r="J43" i="820"/>
  <c r="T43" i="820" s="1"/>
  <c r="J42" i="820"/>
  <c r="T42" i="820" s="1"/>
  <c r="J41" i="820"/>
  <c r="P41" i="820" s="1"/>
  <c r="J40" i="820"/>
  <c r="L40" i="820" s="1"/>
  <c r="J38" i="820"/>
  <c r="T38" i="820" s="1"/>
  <c r="J48" i="820"/>
  <c r="L48" i="820" s="1"/>
  <c r="J47" i="820"/>
  <c r="N47" i="820" s="1"/>
  <c r="M16" i="820"/>
  <c r="M13" i="820"/>
  <c r="M12" i="820"/>
  <c r="M11" i="820"/>
  <c r="M8" i="820"/>
  <c r="M7" i="820"/>
  <c r="J22" i="824"/>
  <c r="L22" i="824" s="1"/>
  <c r="M18" i="824"/>
  <c r="J18" i="824"/>
  <c r="N18" i="824" s="1"/>
  <c r="J19" i="824"/>
  <c r="L19" i="824" s="1"/>
  <c r="J20" i="824"/>
  <c r="L20" i="824" s="1"/>
  <c r="J21" i="824"/>
  <c r="L21" i="824" s="1"/>
  <c r="S5" i="824"/>
  <c r="U5" i="824"/>
  <c r="J28" i="822"/>
  <c r="R28" i="822" s="1"/>
  <c r="J27" i="822"/>
  <c r="T27" i="822" s="1"/>
  <c r="J26" i="822"/>
  <c r="R26" i="822" s="1"/>
  <c r="J25" i="822"/>
  <c r="T25" i="822" s="1"/>
  <c r="J24" i="822"/>
  <c r="R24" i="822" s="1"/>
  <c r="J23" i="822"/>
  <c r="T23" i="822" s="1"/>
  <c r="J22" i="822"/>
  <c r="J21" i="822"/>
  <c r="J20" i="822"/>
  <c r="J19" i="822"/>
  <c r="J18" i="822"/>
  <c r="J14" i="822"/>
  <c r="N14" i="822" s="1"/>
  <c r="J13" i="822"/>
  <c r="N13" i="822" s="1"/>
  <c r="J12" i="822"/>
  <c r="N12" i="822" s="1"/>
  <c r="J11" i="822"/>
  <c r="N11" i="822" s="1"/>
  <c r="K58" i="821"/>
  <c r="J18" i="821"/>
  <c r="K39" i="821"/>
  <c r="J49" i="821"/>
  <c r="J66" i="821"/>
  <c r="J37" i="821"/>
  <c r="K53" i="821"/>
  <c r="L36" i="821"/>
  <c r="J54" i="821"/>
  <c r="K18" i="821"/>
  <c r="L61" i="821"/>
  <c r="L63" i="821"/>
  <c r="J65" i="821"/>
  <c r="K42" i="821"/>
  <c r="L32" i="821"/>
  <c r="J57" i="821"/>
  <c r="L54" i="821"/>
  <c r="L44" i="821"/>
  <c r="J30" i="821"/>
  <c r="J48" i="821"/>
  <c r="L55" i="821"/>
  <c r="K52" i="821"/>
  <c r="J71" i="821"/>
  <c r="J21" i="821"/>
  <c r="L43" i="821"/>
  <c r="K56" i="821"/>
  <c r="L24" i="821"/>
  <c r="L51" i="821"/>
  <c r="K27" i="821"/>
  <c r="J28" i="821"/>
  <c r="L47" i="821"/>
  <c r="L25" i="821"/>
  <c r="J50" i="821"/>
  <c r="J52" i="821"/>
  <c r="J34" i="821"/>
  <c r="L33" i="821"/>
  <c r="J36" i="821"/>
  <c r="K61" i="821"/>
  <c r="K47" i="821"/>
  <c r="L42" i="821"/>
  <c r="J56" i="821"/>
  <c r="L40" i="821"/>
  <c r="L48" i="821"/>
  <c r="J60" i="821"/>
  <c r="K48" i="821"/>
  <c r="L68" i="821"/>
  <c r="K67" i="821"/>
  <c r="L59" i="821"/>
  <c r="J24" i="821"/>
  <c r="J38" i="821"/>
  <c r="J59" i="821"/>
  <c r="K62" i="821"/>
  <c r="L58" i="821"/>
  <c r="J61" i="821"/>
  <c r="K46" i="821"/>
  <c r="L38" i="821"/>
  <c r="L65" i="821"/>
  <c r="K22" i="821"/>
  <c r="K21" i="821"/>
  <c r="L37" i="821"/>
  <c r="K55" i="821"/>
  <c r="J46" i="821"/>
  <c r="J67" i="821"/>
  <c r="L26" i="821"/>
  <c r="L45" i="821"/>
  <c r="K60" i="821"/>
  <c r="K41" i="821"/>
  <c r="L67" i="821"/>
  <c r="K64" i="821"/>
  <c r="K30" i="821"/>
  <c r="J40" i="821"/>
  <c r="J29" i="821"/>
  <c r="K35" i="821"/>
  <c r="L60" i="821"/>
  <c r="K44" i="821"/>
  <c r="K63" i="821"/>
  <c r="J42" i="821"/>
  <c r="L31" i="821"/>
  <c r="K43" i="821"/>
  <c r="L34" i="821"/>
  <c r="K28" i="821"/>
  <c r="L4" i="825"/>
  <c r="J35" i="821"/>
  <c r="K59" i="821"/>
  <c r="J43" i="821"/>
  <c r="L66" i="821"/>
  <c r="K66" i="821"/>
  <c r="J44" i="821"/>
  <c r="K65" i="821"/>
  <c r="J41" i="821"/>
  <c r="J32" i="821"/>
  <c r="L62" i="821"/>
  <c r="K54" i="821"/>
  <c r="L53" i="821"/>
  <c r="K69" i="821"/>
  <c r="L39" i="821"/>
  <c r="L19" i="821"/>
  <c r="L69" i="821"/>
  <c r="L18" i="821"/>
  <c r="K49" i="821"/>
  <c r="J45" i="821"/>
  <c r="L50" i="821"/>
  <c r="J51" i="821"/>
  <c r="J53" i="821"/>
  <c r="J58" i="821"/>
  <c r="J47" i="821"/>
  <c r="L27" i="821"/>
  <c r="J55" i="821"/>
  <c r="J27" i="821"/>
  <c r="L52" i="821"/>
  <c r="L46" i="821"/>
  <c r="K24" i="821"/>
  <c r="K57" i="821"/>
  <c r="L49" i="821"/>
  <c r="K38" i="821"/>
  <c r="L22" i="821"/>
  <c r="K70" i="821"/>
  <c r="K36" i="821"/>
  <c r="L41" i="821"/>
  <c r="K32" i="821"/>
  <c r="K29" i="821"/>
  <c r="J39" i="821"/>
  <c r="K45" i="821"/>
  <c r="L70" i="821"/>
  <c r="K50" i="821"/>
  <c r="J4" i="825"/>
  <c r="K68" i="821"/>
  <c r="L21" i="821"/>
  <c r="K31" i="821"/>
  <c r="L28" i="821"/>
  <c r="J19" i="821"/>
  <c r="L35" i="821"/>
  <c r="L64" i="821"/>
  <c r="L56" i="821"/>
  <c r="J33" i="821"/>
  <c r="J69" i="821"/>
  <c r="L30" i="821"/>
  <c r="J70" i="821"/>
  <c r="J62" i="821"/>
  <c r="K34" i="821"/>
  <c r="K37" i="821"/>
  <c r="K40" i="821"/>
  <c r="L71" i="821"/>
  <c r="K33" i="821"/>
  <c r="K19" i="821"/>
  <c r="L57" i="821"/>
  <c r="K4" i="825"/>
  <c r="J64" i="821"/>
  <c r="K51" i="821"/>
  <c r="J63" i="821"/>
  <c r="K71" i="821"/>
  <c r="J68" i="821"/>
  <c r="J22" i="821"/>
  <c r="J31" i="821"/>
  <c r="L29" i="821"/>
  <c r="L18" i="824" l="1"/>
  <c r="L39" i="820"/>
  <c r="R41" i="820"/>
  <c r="N39" i="820"/>
  <c r="P39" i="820"/>
  <c r="R39" i="820"/>
  <c r="N44" i="820"/>
  <c r="P44" i="820"/>
  <c r="R44" i="820"/>
  <c r="T41" i="820"/>
  <c r="R45" i="820"/>
  <c r="R40" i="820"/>
  <c r="P40" i="820"/>
  <c r="N40" i="820"/>
  <c r="L38" i="820"/>
  <c r="L43" i="820"/>
  <c r="T45" i="820"/>
  <c r="N43" i="820"/>
  <c r="N48" i="820"/>
  <c r="P38" i="820"/>
  <c r="T40" i="820"/>
  <c r="L42" i="820"/>
  <c r="P43" i="820"/>
  <c r="T44" i="820"/>
  <c r="L46" i="820"/>
  <c r="N38" i="820"/>
  <c r="R48" i="820"/>
  <c r="R38" i="820"/>
  <c r="N42" i="820"/>
  <c r="R43" i="820"/>
  <c r="N46" i="820"/>
  <c r="L41" i="820"/>
  <c r="P42" i="820"/>
  <c r="L45" i="820"/>
  <c r="P46" i="820"/>
  <c r="N41" i="820"/>
  <c r="R42" i="820"/>
  <c r="N45" i="820"/>
  <c r="R46" i="820"/>
  <c r="L47" i="820"/>
  <c r="P48" i="820"/>
  <c r="P47" i="820"/>
  <c r="T48" i="820"/>
  <c r="R47" i="820"/>
  <c r="T47" i="820"/>
  <c r="D30" i="820"/>
  <c r="J30" i="820" s="1"/>
  <c r="D29" i="820"/>
  <c r="J29" i="820" s="1"/>
  <c r="D19" i="820"/>
  <c r="J19" i="820" s="1"/>
  <c r="D12" i="820"/>
  <c r="J12" i="820" s="1"/>
  <c r="T12" i="820" s="1"/>
  <c r="L11" i="822"/>
  <c r="D11" i="348" s="1"/>
  <c r="L13" i="822"/>
  <c r="D13" i="348" s="1"/>
  <c r="L18" i="822"/>
  <c r="L20" i="822"/>
  <c r="L22" i="822"/>
  <c r="L24" i="822"/>
  <c r="L26" i="822"/>
  <c r="L28" i="822"/>
  <c r="T24" i="822"/>
  <c r="T26" i="822"/>
  <c r="T28" i="822"/>
  <c r="L12" i="822"/>
  <c r="D12" i="348" s="1"/>
  <c r="L14" i="822"/>
  <c r="D14" i="348" s="1"/>
  <c r="L19" i="822"/>
  <c r="L21" i="822"/>
  <c r="L23" i="822"/>
  <c r="L25" i="822"/>
  <c r="L27" i="822"/>
  <c r="R23" i="822"/>
  <c r="R25" i="822"/>
  <c r="R27" i="822"/>
  <c r="J18" i="816"/>
  <c r="N18" i="816" s="1"/>
  <c r="J17" i="816"/>
  <c r="N17" i="816" s="1"/>
  <c r="J16" i="816"/>
  <c r="N16" i="816" s="1"/>
  <c r="J15" i="816"/>
  <c r="N15" i="816" s="1"/>
  <c r="J14" i="816"/>
  <c r="L14" i="816" s="1"/>
  <c r="J13" i="816"/>
  <c r="N13" i="816" s="1"/>
  <c r="J12" i="816"/>
  <c r="N12" i="816" s="1"/>
  <c r="J11" i="816"/>
  <c r="N11" i="816" s="1"/>
  <c r="J10" i="816"/>
  <c r="J9" i="816"/>
  <c r="N9" i="816" s="1"/>
  <c r="J24" i="816"/>
  <c r="N24" i="816" s="1"/>
  <c r="J23" i="816"/>
  <c r="N23" i="816" s="1"/>
  <c r="J22" i="816"/>
  <c r="N22" i="816" s="1"/>
  <c r="J21" i="816"/>
  <c r="N21" i="816" s="1"/>
  <c r="J20" i="816"/>
  <c r="N20" i="816" s="1"/>
  <c r="J19" i="816"/>
  <c r="N19" i="816" s="1"/>
  <c r="J25" i="816"/>
  <c r="N25" i="816" s="1"/>
  <c r="M10" i="820"/>
  <c r="M9" i="820"/>
  <c r="M6" i="820"/>
  <c r="M5" i="820"/>
  <c r="M4" i="820"/>
  <c r="N10" i="816" l="1"/>
  <c r="T10" i="816"/>
  <c r="L9" i="816"/>
  <c r="N14" i="816"/>
  <c r="L20" i="816"/>
  <c r="L13" i="816"/>
  <c r="T30" i="820"/>
  <c r="R30" i="820"/>
  <c r="P30" i="820"/>
  <c r="N30" i="820"/>
  <c r="L30" i="820"/>
  <c r="T29" i="820"/>
  <c r="R29" i="820"/>
  <c r="P29" i="820"/>
  <c r="N29" i="820"/>
  <c r="L29" i="820"/>
  <c r="T19" i="820"/>
  <c r="R19" i="820"/>
  <c r="P19" i="820"/>
  <c r="N19" i="820"/>
  <c r="L19" i="820"/>
  <c r="L12" i="820"/>
  <c r="N12" i="820"/>
  <c r="P12" i="820"/>
  <c r="R12" i="820"/>
  <c r="L21" i="816"/>
  <c r="L15" i="816"/>
  <c r="L22" i="816"/>
  <c r="L16" i="816"/>
  <c r="L19" i="816"/>
  <c r="L12" i="816"/>
  <c r="L10" i="816"/>
  <c r="L17" i="816"/>
  <c r="L11" i="816"/>
  <c r="L18" i="816"/>
  <c r="L23" i="816"/>
  <c r="L24" i="816"/>
  <c r="L25" i="816"/>
  <c r="B4" i="482" l="1"/>
  <c r="L11" i="823"/>
  <c r="K16" i="823"/>
  <c r="J16" i="823"/>
  <c r="L17" i="823"/>
  <c r="L13" i="823"/>
  <c r="L15" i="823"/>
  <c r="J23" i="823"/>
  <c r="K24" i="823"/>
  <c r="K13" i="823"/>
  <c r="J20" i="823"/>
  <c r="K15" i="823"/>
  <c r="K12" i="823"/>
  <c r="L23" i="823"/>
  <c r="K20" i="823"/>
  <c r="L16" i="823"/>
  <c r="K22" i="823"/>
  <c r="L19" i="823"/>
  <c r="J17" i="823"/>
  <c r="L20" i="823"/>
  <c r="K11" i="823"/>
  <c r="L10" i="823"/>
  <c r="K23" i="823"/>
  <c r="J15" i="823"/>
  <c r="J11" i="823"/>
  <c r="J13" i="823"/>
  <c r="J24" i="823"/>
  <c r="L21" i="823"/>
  <c r="K17" i="823"/>
  <c r="K21" i="823"/>
  <c r="J14" i="823"/>
  <c r="J12" i="823"/>
  <c r="J21" i="823"/>
  <c r="J10" i="823"/>
  <c r="J19" i="823"/>
  <c r="L24" i="823"/>
  <c r="L12" i="823"/>
  <c r="K10" i="823"/>
  <c r="L22" i="823"/>
  <c r="K14" i="823"/>
  <c r="K19" i="823"/>
  <c r="L14" i="823"/>
  <c r="J22" i="823"/>
  <c r="J12" i="762" l="1"/>
  <c r="C398" i="135"/>
  <c r="E398" i="135"/>
  <c r="J17" i="824"/>
  <c r="J13" i="824"/>
  <c r="N13" i="824" s="1"/>
  <c r="J12" i="824"/>
  <c r="N12" i="824" s="1"/>
  <c r="P12" i="762" l="1"/>
  <c r="N12" i="762"/>
  <c r="L12" i="762"/>
  <c r="D36" i="348" s="1"/>
  <c r="L17" i="824"/>
  <c r="N17" i="824"/>
  <c r="L13" i="824"/>
  <c r="L12" i="824"/>
  <c r="E503" i="135" l="1"/>
  <c r="E502" i="135"/>
  <c r="E501" i="135"/>
  <c r="E498" i="135"/>
  <c r="E497" i="135"/>
  <c r="E496" i="135"/>
  <c r="E495" i="135"/>
  <c r="E500" i="135"/>
  <c r="E499" i="135"/>
  <c r="J7" i="816"/>
  <c r="J8" i="816"/>
  <c r="L8" i="816" s="1"/>
  <c r="L7" i="816" l="1"/>
  <c r="T7" i="816"/>
  <c r="R7" i="816"/>
  <c r="F11" i="496"/>
  <c r="K19" i="817"/>
  <c r="L9" i="817"/>
  <c r="K20" i="817"/>
  <c r="J9" i="817"/>
  <c r="L20" i="817"/>
  <c r="L14" i="817"/>
  <c r="J20" i="817"/>
  <c r="K12" i="817"/>
  <c r="J14" i="817"/>
  <c r="J19" i="817"/>
  <c r="J18" i="817"/>
  <c r="L19" i="817"/>
  <c r="K9" i="817"/>
  <c r="L18" i="817"/>
  <c r="J12" i="817"/>
  <c r="K14" i="817"/>
  <c r="L12" i="817"/>
  <c r="K18" i="817"/>
  <c r="E521" i="135" l="1"/>
  <c r="C521" i="135"/>
  <c r="I14" i="460"/>
  <c r="E520" i="135"/>
  <c r="E519" i="135"/>
  <c r="E518" i="135"/>
  <c r="E517" i="135"/>
  <c r="U4" i="824"/>
  <c r="S4" i="824"/>
  <c r="J8" i="824"/>
  <c r="L8" i="824" s="1"/>
  <c r="J9" i="824"/>
  <c r="L9" i="824" s="1"/>
  <c r="J10" i="824"/>
  <c r="L10" i="824" s="1"/>
  <c r="J11" i="824"/>
  <c r="L11" i="824" s="1"/>
  <c r="B5" i="482"/>
  <c r="C50" i="482"/>
  <c r="B50" i="482"/>
  <c r="G60" i="482"/>
  <c r="L24" i="814"/>
  <c r="J18" i="814"/>
  <c r="L18" i="814" s="1"/>
  <c r="J19" i="814"/>
  <c r="L19" i="814" s="1"/>
  <c r="J20" i="814"/>
  <c r="L20" i="814" s="1"/>
  <c r="J21" i="814"/>
  <c r="L21" i="814" s="1"/>
  <c r="J22" i="814"/>
  <c r="L22" i="814" s="1"/>
  <c r="J23" i="814"/>
  <c r="L23" i="814" s="1"/>
  <c r="O14" i="814"/>
  <c r="O13" i="814"/>
  <c r="M5" i="814"/>
  <c r="M4" i="814"/>
  <c r="J16" i="814"/>
  <c r="P16" i="814" s="1"/>
  <c r="J17" i="814"/>
  <c r="L17" i="814" s="1"/>
  <c r="L16" i="814" l="1"/>
  <c r="V10" i="824"/>
  <c r="T8" i="824"/>
  <c r="N8" i="816"/>
  <c r="R10" i="824"/>
  <c r="R27" i="824" s="1"/>
  <c r="N11" i="824"/>
  <c r="T10" i="824"/>
  <c r="N7" i="816"/>
  <c r="N9" i="824"/>
  <c r="J21" i="825"/>
  <c r="K12" i="825"/>
  <c r="L6" i="815"/>
  <c r="J8" i="825"/>
  <c r="J5" i="825"/>
  <c r="K14" i="825"/>
  <c r="J16" i="825"/>
  <c r="J11" i="825"/>
  <c r="L9" i="825"/>
  <c r="L19" i="825"/>
  <c r="L10" i="825"/>
  <c r="L9" i="815"/>
  <c r="K12" i="815"/>
  <c r="J12" i="815"/>
  <c r="K5" i="825"/>
  <c r="J6" i="825"/>
  <c r="J20" i="825"/>
  <c r="L23" i="825"/>
  <c r="J15" i="825"/>
  <c r="J17" i="825"/>
  <c r="K8" i="825"/>
  <c r="L12" i="815"/>
  <c r="L22" i="825"/>
  <c r="K13" i="825"/>
  <c r="J10" i="825"/>
  <c r="K19" i="825"/>
  <c r="L20" i="825"/>
  <c r="K24" i="825"/>
  <c r="J6" i="815"/>
  <c r="K6" i="815"/>
  <c r="K9" i="815"/>
  <c r="L17" i="825"/>
  <c r="L12" i="825"/>
  <c r="J14" i="825"/>
  <c r="K6" i="825"/>
  <c r="L21" i="825"/>
  <c r="J22" i="825"/>
  <c r="K18" i="825"/>
  <c r="K23" i="825"/>
  <c r="J9" i="815"/>
  <c r="L8" i="825"/>
  <c r="K9" i="825"/>
  <c r="K11" i="825"/>
  <c r="K17" i="825"/>
  <c r="K15" i="825"/>
  <c r="K3" i="825"/>
  <c r="K10" i="825"/>
  <c r="L15" i="825"/>
  <c r="L7" i="825"/>
  <c r="L6" i="825"/>
  <c r="L16" i="825"/>
  <c r="K16" i="825"/>
  <c r="J19" i="825"/>
  <c r="K20" i="825"/>
  <c r="J18" i="825"/>
  <c r="J13" i="825"/>
  <c r="L13" i="825"/>
  <c r="K21" i="825"/>
  <c r="J12" i="825"/>
  <c r="L5" i="825"/>
  <c r="J3" i="825"/>
  <c r="K22" i="825"/>
  <c r="J9" i="825"/>
  <c r="K7" i="825"/>
  <c r="J7" i="825"/>
  <c r="L14" i="825"/>
  <c r="L24" i="825"/>
  <c r="L18" i="825"/>
  <c r="L11" i="825"/>
  <c r="L3" i="825"/>
  <c r="J23" i="825"/>
  <c r="D5" i="824" l="1"/>
  <c r="J5" i="824" s="1"/>
  <c r="D9" i="814"/>
  <c r="J9" i="814" s="1"/>
  <c r="N9" i="814" s="1"/>
  <c r="D15" i="824"/>
  <c r="D14" i="824"/>
  <c r="D16" i="824"/>
  <c r="J16" i="824" s="1"/>
  <c r="L16" i="824" s="1"/>
  <c r="D8" i="356"/>
  <c r="C8" i="356"/>
  <c r="B8" i="356"/>
  <c r="K8" i="356"/>
  <c r="L34" i="357"/>
  <c r="K33" i="357"/>
  <c r="K32" i="357"/>
  <c r="I32" i="357"/>
  <c r="K30" i="357"/>
  <c r="I30" i="357"/>
  <c r="T26" i="762"/>
  <c r="R26" i="762"/>
  <c r="H51" i="348"/>
  <c r="M17" i="820"/>
  <c r="M15" i="820"/>
  <c r="M14" i="820"/>
  <c r="J31" i="820"/>
  <c r="L31" i="820" s="1"/>
  <c r="J36" i="820"/>
  <c r="L36" i="820" s="1"/>
  <c r="J37" i="820"/>
  <c r="L37" i="820" s="1"/>
  <c r="H23" i="348"/>
  <c r="J8" i="822"/>
  <c r="T8" i="822" s="1"/>
  <c r="N8" i="824"/>
  <c r="D6" i="824"/>
  <c r="D4" i="824"/>
  <c r="A1" i="824"/>
  <c r="A1" i="822"/>
  <c r="A3" i="348" s="1"/>
  <c r="A5" i="347" s="1"/>
  <c r="E51" i="482" l="1"/>
  <c r="E54" i="482"/>
  <c r="L8" i="822"/>
  <c r="D8" i="348" s="1"/>
  <c r="N8" i="822"/>
  <c r="V5" i="824"/>
  <c r="T5" i="824"/>
  <c r="N5" i="824"/>
  <c r="L5" i="824"/>
  <c r="L9" i="814"/>
  <c r="J15" i="824"/>
  <c r="J14" i="824"/>
  <c r="G51" i="482"/>
  <c r="L51" i="482" s="1"/>
  <c r="E50" i="482"/>
  <c r="G50" i="482" s="1"/>
  <c r="G53" i="482"/>
  <c r="L53" i="482" s="1"/>
  <c r="K35" i="357"/>
  <c r="P37" i="820"/>
  <c r="R37" i="820"/>
  <c r="T37" i="820"/>
  <c r="N37" i="820"/>
  <c r="P36" i="820"/>
  <c r="N36" i="820"/>
  <c r="R36" i="820"/>
  <c r="T36" i="820"/>
  <c r="P31" i="820"/>
  <c r="N31" i="820"/>
  <c r="R31" i="820"/>
  <c r="T31" i="820"/>
  <c r="P8" i="822"/>
  <c r="D7" i="824"/>
  <c r="J7" i="824" s="1"/>
  <c r="J4" i="824"/>
  <c r="E55" i="482" l="1"/>
  <c r="N14" i="824"/>
  <c r="L14" i="824"/>
  <c r="N15" i="824"/>
  <c r="L15" i="824"/>
  <c r="G54" i="482"/>
  <c r="L54" i="482" s="1"/>
  <c r="L50" i="482"/>
  <c r="G55" i="482"/>
  <c r="L55" i="482" s="1"/>
  <c r="G56" i="482"/>
  <c r="L56" i="482" s="1"/>
  <c r="T4" i="824"/>
  <c r="V4" i="824"/>
  <c r="N4" i="824"/>
  <c r="L4" i="824"/>
  <c r="P7" i="824"/>
  <c r="P27" i="824" s="1"/>
  <c r="L7" i="824"/>
  <c r="J6" i="824"/>
  <c r="G52" i="482" l="1"/>
  <c r="L52" i="482" s="1"/>
  <c r="V27" i="824"/>
  <c r="T27" i="824"/>
  <c r="L21" i="356"/>
  <c r="L6" i="824"/>
  <c r="N6" i="824"/>
  <c r="N27" i="824" s="1"/>
  <c r="G59" i="482" l="1"/>
  <c r="L59" i="482" s="1"/>
  <c r="L60" i="482" s="1"/>
  <c r="L62" i="482" s="1"/>
  <c r="G5" i="482" s="1"/>
  <c r="L5" i="482" s="1"/>
  <c r="K30" i="818" l="1"/>
  <c r="K29" i="818"/>
  <c r="K28" i="818"/>
  <c r="K27" i="818"/>
  <c r="H30" i="818"/>
  <c r="J30" i="818" s="1"/>
  <c r="J15" i="821"/>
  <c r="J8" i="821"/>
  <c r="L11" i="821"/>
  <c r="K26" i="821"/>
  <c r="J10" i="821"/>
  <c r="L7" i="821"/>
  <c r="K10" i="821"/>
  <c r="L8" i="823"/>
  <c r="J7" i="821"/>
  <c r="L4" i="823"/>
  <c r="L6" i="823"/>
  <c r="L8" i="821"/>
  <c r="L13" i="821"/>
  <c r="J11" i="821"/>
  <c r="J9" i="823"/>
  <c r="K9" i="823"/>
  <c r="J16" i="821"/>
  <c r="K6" i="823"/>
  <c r="K7" i="821"/>
  <c r="J5" i="823"/>
  <c r="L10" i="821"/>
  <c r="K13" i="821"/>
  <c r="K15" i="821"/>
  <c r="J13" i="821"/>
  <c r="J14" i="821"/>
  <c r="L9" i="823"/>
  <c r="J26" i="821"/>
  <c r="J7" i="823"/>
  <c r="L16" i="821"/>
  <c r="L5" i="823"/>
  <c r="L3" i="823"/>
  <c r="J5" i="821"/>
  <c r="K11" i="821"/>
  <c r="J3" i="823"/>
  <c r="L7" i="823"/>
  <c r="K4" i="823"/>
  <c r="J6" i="823"/>
  <c r="K5" i="823"/>
  <c r="L5" i="821"/>
  <c r="K14" i="821"/>
  <c r="J8" i="823"/>
  <c r="K7" i="823"/>
  <c r="K8" i="821"/>
  <c r="L15" i="821"/>
  <c r="J4" i="823"/>
  <c r="K5" i="821"/>
  <c r="K3" i="823"/>
  <c r="K8" i="823"/>
  <c r="L14" i="821"/>
  <c r="K16" i="821"/>
  <c r="D10" i="762" l="1"/>
  <c r="J10" i="762" s="1"/>
  <c r="D11" i="762"/>
  <c r="D15" i="762"/>
  <c r="D8" i="762"/>
  <c r="D7" i="762"/>
  <c r="D5" i="762"/>
  <c r="D20" i="762" s="1"/>
  <c r="J20" i="762" s="1"/>
  <c r="D17" i="762"/>
  <c r="J17" i="762" s="1"/>
  <c r="N17" i="762" s="1"/>
  <c r="D7" i="822"/>
  <c r="J7" i="822" s="1"/>
  <c r="D4" i="822"/>
  <c r="D28" i="820"/>
  <c r="J28" i="820" s="1"/>
  <c r="D21" i="820"/>
  <c r="J21" i="820" s="1"/>
  <c r="D23" i="820"/>
  <c r="J23" i="820" s="1"/>
  <c r="D18" i="820"/>
  <c r="J18" i="820" s="1"/>
  <c r="D11" i="820"/>
  <c r="J11" i="820" s="1"/>
  <c r="D13" i="820"/>
  <c r="J13" i="820" s="1"/>
  <c r="D6" i="822"/>
  <c r="J6" i="822" s="1"/>
  <c r="N6" i="822" s="1"/>
  <c r="D5" i="822"/>
  <c r="J5" i="822" s="1"/>
  <c r="D20" i="820"/>
  <c r="J20" i="820" s="1"/>
  <c r="P20" i="820" s="1"/>
  <c r="D9" i="820"/>
  <c r="J9" i="820" s="1"/>
  <c r="R9" i="820" s="1"/>
  <c r="D8" i="820"/>
  <c r="J8" i="820" s="1"/>
  <c r="T8" i="820" s="1"/>
  <c r="D22" i="820"/>
  <c r="J22" i="820" s="1"/>
  <c r="R22" i="820" s="1"/>
  <c r="D25" i="820"/>
  <c r="J25" i="820" s="1"/>
  <c r="T25" i="820" s="1"/>
  <c r="D14" i="820"/>
  <c r="J14" i="820" s="1"/>
  <c r="P14" i="820" s="1"/>
  <c r="D10" i="820"/>
  <c r="J10" i="820" s="1"/>
  <c r="P10" i="820" s="1"/>
  <c r="L30" i="818"/>
  <c r="J4" i="822" l="1"/>
  <c r="T4" i="822" s="1"/>
  <c r="D10" i="822"/>
  <c r="J10" i="822" s="1"/>
  <c r="N10" i="822" s="1"/>
  <c r="V7" i="822"/>
  <c r="T7" i="822"/>
  <c r="L7" i="822"/>
  <c r="N7" i="822"/>
  <c r="P7" i="822"/>
  <c r="N20" i="762"/>
  <c r="L20" i="762"/>
  <c r="N10" i="762"/>
  <c r="L10" i="762"/>
  <c r="D34" i="348" s="1"/>
  <c r="J5" i="762"/>
  <c r="P17" i="762"/>
  <c r="L17" i="762"/>
  <c r="T28" i="820"/>
  <c r="R28" i="820"/>
  <c r="P28" i="820"/>
  <c r="N28" i="820"/>
  <c r="L28" i="820"/>
  <c r="T21" i="820"/>
  <c r="R21" i="820"/>
  <c r="P21" i="820"/>
  <c r="N21" i="820"/>
  <c r="L21" i="820"/>
  <c r="T23" i="820"/>
  <c r="R23" i="820"/>
  <c r="P23" i="820"/>
  <c r="N23" i="820"/>
  <c r="L23" i="820"/>
  <c r="T18" i="820"/>
  <c r="R18" i="820"/>
  <c r="P18" i="820"/>
  <c r="N18" i="820"/>
  <c r="L18" i="820"/>
  <c r="T11" i="820"/>
  <c r="R11" i="820"/>
  <c r="P11" i="820"/>
  <c r="N11" i="820"/>
  <c r="L11" i="820"/>
  <c r="T13" i="820"/>
  <c r="R13" i="820"/>
  <c r="P13" i="820"/>
  <c r="N13" i="820"/>
  <c r="L13" i="820"/>
  <c r="T6" i="822"/>
  <c r="L6" i="822"/>
  <c r="D6" i="348" s="1"/>
  <c r="P6" i="822"/>
  <c r="V6" i="822"/>
  <c r="T22" i="820"/>
  <c r="P22" i="820"/>
  <c r="L22" i="820"/>
  <c r="N22" i="820"/>
  <c r="R8" i="820"/>
  <c r="T20" i="820"/>
  <c r="L8" i="820"/>
  <c r="N8" i="820"/>
  <c r="N5" i="822"/>
  <c r="L5" i="822"/>
  <c r="D5" i="348" s="1"/>
  <c r="N9" i="820"/>
  <c r="P9" i="820"/>
  <c r="T9" i="820"/>
  <c r="L9" i="820"/>
  <c r="T14" i="820"/>
  <c r="P8" i="820"/>
  <c r="P25" i="820"/>
  <c r="L25" i="820"/>
  <c r="N25" i="820"/>
  <c r="R25" i="820"/>
  <c r="L10" i="820"/>
  <c r="R10" i="820"/>
  <c r="R14" i="820"/>
  <c r="N14" i="820"/>
  <c r="T10" i="820"/>
  <c r="L14" i="820"/>
  <c r="N10" i="820"/>
  <c r="R20" i="820"/>
  <c r="L20" i="820"/>
  <c r="N20" i="820"/>
  <c r="D41" i="348" l="1"/>
  <c r="V4" i="822"/>
  <c r="V29" i="822" s="1"/>
  <c r="N4" i="822"/>
  <c r="L4" i="822"/>
  <c r="D4" i="348" s="1"/>
  <c r="R4" i="822"/>
  <c r="D7" i="348"/>
  <c r="L10" i="822"/>
  <c r="D10" i="348" s="1"/>
  <c r="D44" i="348"/>
  <c r="L5" i="762"/>
  <c r="D29" i="348" s="1"/>
  <c r="N5" i="762"/>
  <c r="P29" i="822"/>
  <c r="D21" i="348" s="1"/>
  <c r="N29" i="822" l="1"/>
  <c r="D20" i="348" s="1"/>
  <c r="R29" i="822"/>
  <c r="T29" i="822"/>
  <c r="D22" i="348" s="1"/>
  <c r="L20" i="356"/>
  <c r="M26" i="818" l="1"/>
  <c r="M25" i="818"/>
  <c r="M24" i="818"/>
  <c r="K23" i="818"/>
  <c r="K22" i="818"/>
  <c r="K21" i="818"/>
  <c r="A1" i="820"/>
  <c r="E516" i="135"/>
  <c r="E515" i="135"/>
  <c r="E511" i="135"/>
  <c r="K4" i="821"/>
  <c r="K12" i="821"/>
  <c r="J12" i="821"/>
  <c r="L12" i="821"/>
  <c r="L4" i="821"/>
  <c r="J4" i="821"/>
  <c r="L6" i="821"/>
  <c r="K6" i="821"/>
  <c r="J6" i="821"/>
  <c r="D16" i="820" l="1"/>
  <c r="J16" i="820" s="1"/>
  <c r="D7" i="820"/>
  <c r="D15" i="820"/>
  <c r="J15" i="820" s="1"/>
  <c r="D24" i="820"/>
  <c r="J24" i="820" s="1"/>
  <c r="D27" i="820"/>
  <c r="J27" i="820" s="1"/>
  <c r="D26" i="820"/>
  <c r="J26" i="820" s="1"/>
  <c r="D17" i="820"/>
  <c r="J17" i="820" s="1"/>
  <c r="D6" i="820"/>
  <c r="D34" i="820" s="1"/>
  <c r="D4" i="820"/>
  <c r="D32" i="820" s="1"/>
  <c r="D5" i="820"/>
  <c r="D33" i="820" s="1"/>
  <c r="E514" i="135"/>
  <c r="E513" i="135"/>
  <c r="E512" i="135"/>
  <c r="E510" i="135"/>
  <c r="J7" i="820" l="1"/>
  <c r="P7" i="820" s="1"/>
  <c r="D35" i="820"/>
  <c r="J35" i="820" s="1"/>
  <c r="T16" i="820"/>
  <c r="R16" i="820"/>
  <c r="P16" i="820"/>
  <c r="N16" i="820"/>
  <c r="L16" i="820"/>
  <c r="L15" i="820"/>
  <c r="R15" i="820"/>
  <c r="T15" i="820"/>
  <c r="P15" i="820"/>
  <c r="N15" i="820"/>
  <c r="P24" i="820"/>
  <c r="R24" i="820"/>
  <c r="T24" i="820"/>
  <c r="L24" i="820"/>
  <c r="N24" i="820"/>
  <c r="T27" i="820"/>
  <c r="L27" i="820"/>
  <c r="R27" i="820"/>
  <c r="P27" i="820"/>
  <c r="N27" i="820"/>
  <c r="R17" i="820"/>
  <c r="T17" i="820"/>
  <c r="R26" i="820"/>
  <c r="T26" i="820"/>
  <c r="P17" i="820"/>
  <c r="N17" i="820"/>
  <c r="P26" i="820"/>
  <c r="N26" i="820"/>
  <c r="L26" i="820"/>
  <c r="L17" i="820"/>
  <c r="J6" i="820"/>
  <c r="J34" i="820"/>
  <c r="J5" i="820"/>
  <c r="J33" i="820"/>
  <c r="J4" i="820"/>
  <c r="J32" i="820"/>
  <c r="T7" i="820" l="1"/>
  <c r="R7" i="820"/>
  <c r="L7" i="820"/>
  <c r="N7" i="820"/>
  <c r="T35" i="820"/>
  <c r="R35" i="820"/>
  <c r="P35" i="820"/>
  <c r="N35" i="820"/>
  <c r="L35" i="820"/>
  <c r="R33" i="820"/>
  <c r="T33" i="820"/>
  <c r="R34" i="820"/>
  <c r="T34" i="820"/>
  <c r="R5" i="820"/>
  <c r="T5" i="820"/>
  <c r="R32" i="820"/>
  <c r="T32" i="820"/>
  <c r="R6" i="820"/>
  <c r="T6" i="820"/>
  <c r="R4" i="820"/>
  <c r="T4" i="820"/>
  <c r="P32" i="820"/>
  <c r="N32" i="820"/>
  <c r="P33" i="820"/>
  <c r="N33" i="820"/>
  <c r="P34" i="820"/>
  <c r="N34" i="820"/>
  <c r="P6" i="820"/>
  <c r="N6" i="820"/>
  <c r="P5" i="820"/>
  <c r="N5" i="820"/>
  <c r="N4" i="820"/>
  <c r="P4" i="820"/>
  <c r="L34" i="820"/>
  <c r="L32" i="820"/>
  <c r="L33" i="820"/>
  <c r="L6" i="820"/>
  <c r="L5" i="820"/>
  <c r="L4" i="820"/>
  <c r="E509" i="135"/>
  <c r="E508" i="135"/>
  <c r="E507" i="135"/>
  <c r="E303" i="135"/>
  <c r="C303" i="135"/>
  <c r="E222" i="135"/>
  <c r="C222" i="135"/>
  <c r="E221" i="135"/>
  <c r="C221" i="135"/>
  <c r="E220" i="135"/>
  <c r="C220" i="135"/>
  <c r="K14" i="818"/>
  <c r="M13" i="818"/>
  <c r="K9" i="818"/>
  <c r="K8" i="818"/>
  <c r="K7" i="818"/>
  <c r="K5" i="818"/>
  <c r="K4" i="818"/>
  <c r="H20" i="818"/>
  <c r="J20" i="818" s="1"/>
  <c r="D19" i="818"/>
  <c r="H19" i="818" s="1"/>
  <c r="J19" i="818" s="1"/>
  <c r="J16" i="819"/>
  <c r="K13" i="819"/>
  <c r="L14" i="819"/>
  <c r="L3" i="819"/>
  <c r="J9" i="819"/>
  <c r="J10" i="819"/>
  <c r="J15" i="819"/>
  <c r="L12" i="819"/>
  <c r="L17" i="819"/>
  <c r="L16" i="819"/>
  <c r="K14" i="819"/>
  <c r="K12" i="819"/>
  <c r="J6" i="819"/>
  <c r="K15" i="819"/>
  <c r="L5" i="819"/>
  <c r="J8" i="819"/>
  <c r="L9" i="819"/>
  <c r="L4" i="819"/>
  <c r="K3" i="819"/>
  <c r="J4" i="819"/>
  <c r="K8" i="819"/>
  <c r="L8" i="819"/>
  <c r="K9" i="819"/>
  <c r="K4" i="819"/>
  <c r="K5" i="819"/>
  <c r="L15" i="819"/>
  <c r="J3" i="819"/>
  <c r="J17" i="819"/>
  <c r="K16" i="819"/>
  <c r="J14" i="819"/>
  <c r="J5" i="819"/>
  <c r="L10" i="819"/>
  <c r="L6" i="819"/>
  <c r="L13" i="819"/>
  <c r="K17" i="819"/>
  <c r="J13" i="819"/>
  <c r="K6" i="819"/>
  <c r="K10" i="819"/>
  <c r="J12" i="819"/>
  <c r="T49" i="820" l="1"/>
  <c r="R49" i="820"/>
  <c r="P49" i="820"/>
  <c r="N49" i="820"/>
  <c r="D28" i="818"/>
  <c r="H28" i="818" s="1"/>
  <c r="D27" i="818"/>
  <c r="H27" i="818" s="1"/>
  <c r="D29" i="818"/>
  <c r="H29" i="818" s="1"/>
  <c r="D24" i="818"/>
  <c r="H24" i="818" s="1"/>
  <c r="G7" i="701" s="1"/>
  <c r="D25" i="818"/>
  <c r="H25" i="818" s="1"/>
  <c r="G8" i="701" s="1"/>
  <c r="D26" i="818"/>
  <c r="H26" i="818" s="1"/>
  <c r="G9" i="701" s="1"/>
  <c r="D22" i="818"/>
  <c r="H22" i="818" s="1"/>
  <c r="G5" i="701" s="1"/>
  <c r="D21" i="818"/>
  <c r="H21" i="818" s="1"/>
  <c r="G4" i="701" s="1"/>
  <c r="D23" i="818"/>
  <c r="H23" i="818" s="1"/>
  <c r="G6" i="701" s="1"/>
  <c r="R20" i="818"/>
  <c r="R49" i="818" s="1"/>
  <c r="D18" i="818"/>
  <c r="H18" i="818" s="1"/>
  <c r="J18" i="818" s="1"/>
  <c r="D17" i="818"/>
  <c r="H17" i="818" s="1"/>
  <c r="J17" i="818" s="1"/>
  <c r="D16" i="818"/>
  <c r="H16" i="818" s="1"/>
  <c r="T16" i="818" s="1"/>
  <c r="D7" i="818"/>
  <c r="H7" i="818" s="1"/>
  <c r="D6" i="818"/>
  <c r="H6" i="818" s="1"/>
  <c r="T6" i="818" s="1"/>
  <c r="K15" i="818"/>
  <c r="H15" i="818"/>
  <c r="H14" i="818"/>
  <c r="L14" i="818" s="1"/>
  <c r="D13" i="818"/>
  <c r="D12" i="818"/>
  <c r="H12" i="818" s="1"/>
  <c r="D11" i="818"/>
  <c r="D10" i="818"/>
  <c r="H10" i="818" s="1"/>
  <c r="D9" i="818"/>
  <c r="D8" i="818"/>
  <c r="D5" i="818"/>
  <c r="D4" i="818"/>
  <c r="A1" i="818"/>
  <c r="B6" i="356"/>
  <c r="C6" i="356"/>
  <c r="D6" i="356"/>
  <c r="L18" i="357"/>
  <c r="K17" i="357"/>
  <c r="K16" i="357"/>
  <c r="I16" i="357"/>
  <c r="K14" i="357"/>
  <c r="I14" i="357"/>
  <c r="K4" i="817"/>
  <c r="L4" i="817"/>
  <c r="K3" i="817"/>
  <c r="L5" i="817"/>
  <c r="L7" i="817"/>
  <c r="L3" i="817"/>
  <c r="K5" i="817"/>
  <c r="K7" i="817"/>
  <c r="J5" i="817"/>
  <c r="J4" i="817"/>
  <c r="J3" i="817"/>
  <c r="J7" i="817"/>
  <c r="D6" i="816" l="1"/>
  <c r="J6" i="816" s="1"/>
  <c r="D5" i="816"/>
  <c r="J5" i="816" s="1"/>
  <c r="D4" i="816"/>
  <c r="J4" i="816" s="1"/>
  <c r="L29" i="818"/>
  <c r="J29" i="818"/>
  <c r="J27" i="818"/>
  <c r="L27" i="818"/>
  <c r="L28" i="818"/>
  <c r="J28" i="818"/>
  <c r="T49" i="818"/>
  <c r="L15" i="818"/>
  <c r="J23" i="818"/>
  <c r="L23" i="818"/>
  <c r="J22" i="818"/>
  <c r="L22" i="818"/>
  <c r="J25" i="818"/>
  <c r="N25" i="818"/>
  <c r="J21" i="818"/>
  <c r="L21" i="818"/>
  <c r="J26" i="818"/>
  <c r="N26" i="818"/>
  <c r="J24" i="818"/>
  <c r="N24" i="818"/>
  <c r="K19" i="357"/>
  <c r="K6" i="356" s="1"/>
  <c r="J16" i="818"/>
  <c r="N16" i="818"/>
  <c r="J7" i="818"/>
  <c r="L7" i="818"/>
  <c r="J6" i="818"/>
  <c r="P6" i="818"/>
  <c r="H4" i="818"/>
  <c r="J4" i="818" s="1"/>
  <c r="H8" i="818"/>
  <c r="L8" i="818" s="1"/>
  <c r="H5" i="818"/>
  <c r="L5" i="818" s="1"/>
  <c r="H9" i="818"/>
  <c r="J9" i="818" s="1"/>
  <c r="H11" i="818"/>
  <c r="N11" i="818" s="1"/>
  <c r="H13" i="818"/>
  <c r="J13" i="818" s="1"/>
  <c r="L10" i="818"/>
  <c r="J10" i="818"/>
  <c r="N12" i="818"/>
  <c r="J12" i="818"/>
  <c r="J14" i="818"/>
  <c r="J15" i="818"/>
  <c r="R26" i="816"/>
  <c r="A1" i="816"/>
  <c r="N6" i="816" l="1"/>
  <c r="L6" i="816"/>
  <c r="L5" i="816"/>
  <c r="N5" i="816"/>
  <c r="P49" i="818"/>
  <c r="J8" i="818"/>
  <c r="L9" i="818"/>
  <c r="L4" i="818"/>
  <c r="N13" i="818"/>
  <c r="N49" i="818" s="1"/>
  <c r="J11" i="818"/>
  <c r="J5" i="818"/>
  <c r="T26" i="816"/>
  <c r="N4" i="816"/>
  <c r="L4" i="816"/>
  <c r="L14" i="815"/>
  <c r="J14" i="815"/>
  <c r="J5" i="815"/>
  <c r="L3" i="815"/>
  <c r="K13" i="815"/>
  <c r="J4" i="815"/>
  <c r="J11" i="815"/>
  <c r="L4" i="815"/>
  <c r="L13" i="815"/>
  <c r="K4" i="815"/>
  <c r="L11" i="815"/>
  <c r="L8" i="815"/>
  <c r="J3" i="815"/>
  <c r="K3" i="815"/>
  <c r="J13" i="815"/>
  <c r="L5" i="815"/>
  <c r="K11" i="815"/>
  <c r="K8" i="815"/>
  <c r="J8" i="815"/>
  <c r="K5" i="815"/>
  <c r="K14" i="815"/>
  <c r="N26" i="816" l="1"/>
  <c r="D5" i="814"/>
  <c r="J5" i="814" s="1"/>
  <c r="D8" i="814"/>
  <c r="J8" i="814" s="1"/>
  <c r="L49" i="818"/>
  <c r="P26" i="816"/>
  <c r="D10" i="814"/>
  <c r="J10" i="814" s="1"/>
  <c r="D7" i="814"/>
  <c r="J7" i="814" s="1"/>
  <c r="D15" i="814"/>
  <c r="J15" i="814" s="1"/>
  <c r="D6" i="814"/>
  <c r="T26" i="814"/>
  <c r="R26" i="814"/>
  <c r="D14" i="814"/>
  <c r="D13" i="814"/>
  <c r="D12" i="814"/>
  <c r="M11" i="814"/>
  <c r="D11" i="814"/>
  <c r="D4" i="814"/>
  <c r="A1" i="814"/>
  <c r="L5" i="814" l="1"/>
  <c r="N5" i="814"/>
  <c r="L8" i="814"/>
  <c r="N8" i="814"/>
  <c r="L10" i="814"/>
  <c r="N10" i="814"/>
  <c r="L7" i="814"/>
  <c r="N7" i="814"/>
  <c r="J6" i="814"/>
  <c r="N6" i="814" s="1"/>
  <c r="P15" i="814"/>
  <c r="L15" i="814"/>
  <c r="J13" i="814"/>
  <c r="L13" i="814" s="1"/>
  <c r="J14" i="814"/>
  <c r="P14" i="814" s="1"/>
  <c r="J4" i="814"/>
  <c r="N4" i="814" s="1"/>
  <c r="J11" i="814"/>
  <c r="L11" i="814" s="1"/>
  <c r="J12" i="814"/>
  <c r="P12" i="814" s="1"/>
  <c r="P13" i="814" l="1"/>
  <c r="P26" i="814" s="1"/>
  <c r="N11" i="814"/>
  <c r="L14" i="814"/>
  <c r="L6" i="814"/>
  <c r="L4" i="814"/>
  <c r="L12" i="814"/>
  <c r="N26" i="814" l="1"/>
  <c r="E506" i="135" l="1"/>
  <c r="E505" i="135" l="1"/>
  <c r="E504" i="135"/>
  <c r="E494" i="135"/>
  <c r="E493" i="135"/>
  <c r="E492" i="135"/>
  <c r="E383" i="135" l="1"/>
  <c r="C383" i="135"/>
  <c r="E169" i="135"/>
  <c r="C169" i="135"/>
  <c r="E161" i="135"/>
  <c r="C161" i="135"/>
  <c r="E131" i="135"/>
  <c r="C131" i="135"/>
  <c r="E491" i="135"/>
  <c r="E490" i="135"/>
  <c r="E489" i="135"/>
  <c r="E488" i="135"/>
  <c r="E487" i="135"/>
  <c r="E486" i="135"/>
  <c r="E485" i="135"/>
  <c r="E484" i="135"/>
  <c r="E483" i="135"/>
  <c r="E482" i="135"/>
  <c r="E481" i="135"/>
  <c r="E480" i="135"/>
  <c r="E479" i="135"/>
  <c r="E478" i="135"/>
  <c r="E152" i="495" l="1"/>
  <c r="E151" i="495"/>
  <c r="E150" i="495"/>
  <c r="AH148" i="495"/>
  <c r="I151" i="495" s="1"/>
  <c r="L151" i="495" l="1"/>
  <c r="I150" i="495"/>
  <c r="L150" i="495" s="1"/>
  <c r="I152" i="495"/>
  <c r="L152" i="495" s="1"/>
  <c r="L154" i="495" l="1"/>
  <c r="E467" i="135" l="1"/>
  <c r="K9" i="357"/>
  <c r="K8" i="357"/>
  <c r="I8" i="357"/>
  <c r="K6" i="357"/>
  <c r="I6" i="357"/>
  <c r="D4" i="762" l="1"/>
  <c r="D6" i="762"/>
  <c r="D21" i="762" s="1"/>
  <c r="D14" i="762"/>
  <c r="J13" i="762"/>
  <c r="J11" i="762"/>
  <c r="N11" i="762" s="1"/>
  <c r="J4" i="762" l="1"/>
  <c r="D19" i="762"/>
  <c r="J19" i="762" s="1"/>
  <c r="D9" i="762"/>
  <c r="J9" i="762" s="1"/>
  <c r="P13" i="762"/>
  <c r="N13" i="762"/>
  <c r="L13" i="762"/>
  <c r="J14" i="762"/>
  <c r="J15" i="762"/>
  <c r="J21" i="762"/>
  <c r="J6" i="762"/>
  <c r="P11" i="762"/>
  <c r="L11" i="762"/>
  <c r="D35" i="348" s="1"/>
  <c r="J8" i="762"/>
  <c r="N8" i="762" s="1"/>
  <c r="J7" i="762"/>
  <c r="D37" i="348" l="1"/>
  <c r="N19" i="762"/>
  <c r="L19" i="762"/>
  <c r="L4" i="762"/>
  <c r="D28" i="348" s="1"/>
  <c r="N4" i="762"/>
  <c r="N14" i="762"/>
  <c r="L14" i="762"/>
  <c r="P14" i="762"/>
  <c r="N9" i="762"/>
  <c r="L9" i="762"/>
  <c r="D33" i="348" s="1"/>
  <c r="L21" i="762"/>
  <c r="N21" i="762"/>
  <c r="N15" i="762"/>
  <c r="L15" i="762"/>
  <c r="P15" i="762"/>
  <c r="L7" i="762"/>
  <c r="D31" i="348" s="1"/>
  <c r="N7" i="762"/>
  <c r="L6" i="762"/>
  <c r="D30" i="348" s="1"/>
  <c r="N6" i="762"/>
  <c r="L8" i="762"/>
  <c r="D32" i="348" s="1"/>
  <c r="D39" i="348" l="1"/>
  <c r="D38" i="348"/>
  <c r="D43" i="348"/>
  <c r="P26" i="762"/>
  <c r="D50" i="348" s="1"/>
  <c r="N26" i="762"/>
  <c r="D45" i="348"/>
  <c r="E477" i="135" l="1"/>
  <c r="E96" i="135" l="1"/>
  <c r="C96" i="135"/>
  <c r="E577" i="135"/>
  <c r="C577" i="135"/>
  <c r="E576" i="135"/>
  <c r="C576" i="135"/>
  <c r="E575" i="135"/>
  <c r="C575" i="135"/>
  <c r="E574" i="135"/>
  <c r="C574" i="135"/>
  <c r="E573" i="135"/>
  <c r="C573" i="135"/>
  <c r="E572" i="135"/>
  <c r="C572" i="135"/>
  <c r="E571" i="135"/>
  <c r="C571" i="135"/>
  <c r="E570" i="135"/>
  <c r="C570" i="135"/>
  <c r="E569" i="135"/>
  <c r="C569" i="135"/>
  <c r="E568" i="135"/>
  <c r="C568" i="135"/>
  <c r="E567" i="135"/>
  <c r="C567" i="135"/>
  <c r="E566" i="135"/>
  <c r="C566" i="135"/>
  <c r="E565" i="135"/>
  <c r="C565" i="135"/>
  <c r="E564" i="135"/>
  <c r="C564" i="135"/>
  <c r="E563" i="135"/>
  <c r="C563" i="135"/>
  <c r="E562" i="135"/>
  <c r="C562" i="135"/>
  <c r="E561" i="135"/>
  <c r="C561" i="135"/>
  <c r="E560" i="135"/>
  <c r="C560" i="135"/>
  <c r="E559" i="135"/>
  <c r="C559" i="135"/>
  <c r="E558" i="135"/>
  <c r="C558" i="135"/>
  <c r="E557" i="135"/>
  <c r="C557" i="135"/>
  <c r="E556" i="135"/>
  <c r="C556" i="135"/>
  <c r="E555" i="135"/>
  <c r="C555" i="135"/>
  <c r="E554" i="135"/>
  <c r="C554" i="135"/>
  <c r="E553" i="135"/>
  <c r="C553" i="135"/>
  <c r="E552" i="135"/>
  <c r="C552" i="135"/>
  <c r="E551" i="135"/>
  <c r="C551" i="135"/>
  <c r="E550" i="135"/>
  <c r="C550" i="135"/>
  <c r="E549" i="135"/>
  <c r="C549" i="135"/>
  <c r="E548" i="135"/>
  <c r="C548" i="135"/>
  <c r="E547" i="135"/>
  <c r="C547" i="135"/>
  <c r="E546" i="135"/>
  <c r="C546" i="135"/>
  <c r="E545" i="135"/>
  <c r="C545" i="135"/>
  <c r="E544" i="135"/>
  <c r="C544" i="135"/>
  <c r="K325" i="135"/>
  <c r="I325" i="135"/>
  <c r="E476" i="135" l="1"/>
  <c r="E97" i="135"/>
  <c r="C97" i="135"/>
  <c r="K324" i="135"/>
  <c r="I324" i="135"/>
  <c r="C324" i="135"/>
  <c r="E475" i="135"/>
  <c r="E474" i="135"/>
  <c r="E324" i="135" l="1"/>
  <c r="E165" i="135"/>
  <c r="C165" i="135"/>
  <c r="E459" i="135" l="1"/>
  <c r="C459" i="135"/>
  <c r="E458" i="135"/>
  <c r="C458" i="135"/>
  <c r="B5" i="356"/>
  <c r="C5" i="356"/>
  <c r="D5" i="356"/>
  <c r="L10" i="357"/>
  <c r="K11" i="357"/>
  <c r="K5" i="356" s="1"/>
  <c r="E302" i="135" l="1"/>
  <c r="C302" i="135"/>
  <c r="A21" i="357" l="1"/>
  <c r="A29" i="357" s="1"/>
  <c r="A37" i="357" s="1"/>
  <c r="J53" i="348" l="1"/>
  <c r="E473" i="135" l="1"/>
  <c r="E472" i="135"/>
  <c r="E460" i="135" l="1"/>
  <c r="C460" i="135"/>
  <c r="K327" i="135"/>
  <c r="K326" i="135"/>
  <c r="I329" i="135"/>
  <c r="I328" i="135"/>
  <c r="I327" i="135"/>
  <c r="I326" i="135"/>
  <c r="E329" i="135" l="1"/>
  <c r="C329" i="135"/>
  <c r="E328" i="135"/>
  <c r="C328" i="135"/>
  <c r="E327" i="135"/>
  <c r="C327" i="135"/>
  <c r="E326" i="135"/>
  <c r="C326" i="135"/>
  <c r="E55" i="135"/>
  <c r="C55" i="135"/>
  <c r="E454" i="135"/>
  <c r="C454" i="135"/>
  <c r="E164" i="135"/>
  <c r="C164" i="135"/>
  <c r="E57" i="135" l="1"/>
  <c r="C57" i="135"/>
  <c r="E58" i="135"/>
  <c r="C58" i="135"/>
  <c r="E167" i="135"/>
  <c r="C167" i="135"/>
  <c r="K323" i="135" l="1"/>
  <c r="I323" i="135"/>
  <c r="J7" i="361" l="1"/>
  <c r="H7" i="361"/>
  <c r="D5" i="361"/>
  <c r="F5" i="361" s="1"/>
  <c r="C5" i="361"/>
  <c r="B5" i="361"/>
  <c r="A5" i="361"/>
  <c r="D4" i="361"/>
  <c r="H4" i="361" s="1"/>
  <c r="C4" i="361"/>
  <c r="B4" i="361"/>
  <c r="A4" i="361"/>
  <c r="A17" i="627"/>
  <c r="A11" i="627"/>
  <c r="A3" i="627"/>
  <c r="E471" i="135"/>
  <c r="E470" i="135"/>
  <c r="E469" i="135"/>
  <c r="E468" i="135"/>
  <c r="E466" i="135"/>
  <c r="E465" i="135"/>
  <c r="E464" i="135"/>
  <c r="E463" i="135"/>
  <c r="C463" i="135"/>
  <c r="E462" i="135"/>
  <c r="C462" i="135"/>
  <c r="E461" i="135"/>
  <c r="C461" i="135"/>
  <c r="E453" i="135"/>
  <c r="C453" i="135"/>
  <c r="E452" i="135"/>
  <c r="C452" i="135"/>
  <c r="E451" i="135"/>
  <c r="C451" i="135"/>
  <c r="E450" i="135"/>
  <c r="C450" i="135"/>
  <c r="E449" i="135"/>
  <c r="C449" i="135"/>
  <c r="E448" i="135"/>
  <c r="C448" i="135"/>
  <c r="E447" i="135"/>
  <c r="C447" i="135"/>
  <c r="E446" i="135"/>
  <c r="C446" i="135"/>
  <c r="E445" i="135"/>
  <c r="C445" i="135"/>
  <c r="E443" i="135"/>
  <c r="C443" i="135"/>
  <c r="E442" i="135"/>
  <c r="C442" i="135"/>
  <c r="E441" i="135"/>
  <c r="C441" i="135"/>
  <c r="E440" i="135"/>
  <c r="C440" i="135"/>
  <c r="E439" i="135"/>
  <c r="C439" i="135"/>
  <c r="E438" i="135"/>
  <c r="C438" i="135"/>
  <c r="E437" i="135"/>
  <c r="C437" i="135"/>
  <c r="E436" i="135"/>
  <c r="C436" i="135"/>
  <c r="E435" i="135"/>
  <c r="C435" i="135"/>
  <c r="E434" i="135"/>
  <c r="C434" i="135"/>
  <c r="E433" i="135"/>
  <c r="C433" i="135"/>
  <c r="E432" i="135"/>
  <c r="C432" i="135"/>
  <c r="E431" i="135"/>
  <c r="C431" i="135"/>
  <c r="E430" i="135"/>
  <c r="C430" i="135"/>
  <c r="E429" i="135"/>
  <c r="C429" i="135"/>
  <c r="E428" i="135"/>
  <c r="C428" i="135"/>
  <c r="E427" i="135"/>
  <c r="C427" i="135"/>
  <c r="E426" i="135"/>
  <c r="C426" i="135"/>
  <c r="E425" i="135"/>
  <c r="C425" i="135"/>
  <c r="E424" i="135"/>
  <c r="C424" i="135"/>
  <c r="E420" i="135"/>
  <c r="C420" i="135"/>
  <c r="E419" i="135"/>
  <c r="C419" i="135"/>
  <c r="E418" i="135"/>
  <c r="C418" i="135"/>
  <c r="E417" i="135"/>
  <c r="C417" i="135"/>
  <c r="E416" i="135"/>
  <c r="C416" i="135"/>
  <c r="E415" i="135"/>
  <c r="C415" i="135"/>
  <c r="E414" i="135"/>
  <c r="C414" i="135"/>
  <c r="E413" i="135"/>
  <c r="C413" i="135"/>
  <c r="E412" i="135"/>
  <c r="C412" i="135"/>
  <c r="E411" i="135"/>
  <c r="C411" i="135"/>
  <c r="E410" i="135"/>
  <c r="C410" i="135"/>
  <c r="E409" i="135"/>
  <c r="C409" i="135"/>
  <c r="E408" i="135"/>
  <c r="C408" i="135"/>
  <c r="E407" i="135"/>
  <c r="C407" i="135"/>
  <c r="E406" i="135"/>
  <c r="C406" i="135"/>
  <c r="E405" i="135"/>
  <c r="C405" i="135"/>
  <c r="E404" i="135"/>
  <c r="C404" i="135"/>
  <c r="E403" i="135"/>
  <c r="C403" i="135"/>
  <c r="E402" i="135"/>
  <c r="C402" i="135"/>
  <c r="E401" i="135"/>
  <c r="C401" i="135"/>
  <c r="E400" i="135"/>
  <c r="C400" i="135"/>
  <c r="E399" i="135"/>
  <c r="C399" i="135"/>
  <c r="E397" i="135"/>
  <c r="C397" i="135"/>
  <c r="E396" i="135"/>
  <c r="C396" i="135"/>
  <c r="E395" i="135"/>
  <c r="C395" i="135"/>
  <c r="E394" i="135"/>
  <c r="C394" i="135"/>
  <c r="E393" i="135"/>
  <c r="C393" i="135"/>
  <c r="E392" i="135"/>
  <c r="C392" i="135"/>
  <c r="E391" i="135"/>
  <c r="C391" i="135"/>
  <c r="E390" i="135"/>
  <c r="C390" i="135"/>
  <c r="E389" i="135"/>
  <c r="C389" i="135"/>
  <c r="E388" i="135"/>
  <c r="C388" i="135"/>
  <c r="E387" i="135"/>
  <c r="C387" i="135"/>
  <c r="K386" i="135"/>
  <c r="I386" i="135"/>
  <c r="G386" i="135"/>
  <c r="C386" i="135"/>
  <c r="K385" i="135"/>
  <c r="I385" i="135"/>
  <c r="G385" i="135"/>
  <c r="C385" i="135"/>
  <c r="E384" i="135"/>
  <c r="C384" i="135"/>
  <c r="E382" i="135"/>
  <c r="C382" i="135"/>
  <c r="E381" i="135"/>
  <c r="C381" i="135"/>
  <c r="E380" i="135"/>
  <c r="C380" i="135"/>
  <c r="E379" i="135"/>
  <c r="C379" i="135"/>
  <c r="E378" i="135"/>
  <c r="C378" i="135"/>
  <c r="E377" i="135"/>
  <c r="C377" i="135"/>
  <c r="E376" i="135"/>
  <c r="C376" i="135"/>
  <c r="E375" i="135"/>
  <c r="C375" i="135"/>
  <c r="E374" i="135"/>
  <c r="C374" i="135"/>
  <c r="E373" i="135"/>
  <c r="C373" i="135"/>
  <c r="E372" i="135"/>
  <c r="C372" i="135"/>
  <c r="E371" i="135"/>
  <c r="C371" i="135"/>
  <c r="E370" i="135"/>
  <c r="C370" i="135"/>
  <c r="E369" i="135"/>
  <c r="C369" i="135"/>
  <c r="E368" i="135"/>
  <c r="C368" i="135"/>
  <c r="E367" i="135"/>
  <c r="C367" i="135"/>
  <c r="E366" i="135"/>
  <c r="C366" i="135"/>
  <c r="E365" i="135"/>
  <c r="C365" i="135"/>
  <c r="E364" i="135"/>
  <c r="C364" i="135"/>
  <c r="E362" i="135"/>
  <c r="C362" i="135"/>
  <c r="E361" i="135"/>
  <c r="C361" i="135"/>
  <c r="E360" i="135"/>
  <c r="C360" i="135"/>
  <c r="E359" i="135"/>
  <c r="C359" i="135"/>
  <c r="E358" i="135"/>
  <c r="C358" i="135"/>
  <c r="E357" i="135"/>
  <c r="C357" i="135"/>
  <c r="E356" i="135"/>
  <c r="C356" i="135"/>
  <c r="E355" i="135"/>
  <c r="C355" i="135"/>
  <c r="E354" i="135"/>
  <c r="C354" i="135"/>
  <c r="E353" i="135"/>
  <c r="C353" i="135"/>
  <c r="E352" i="135"/>
  <c r="C352" i="135"/>
  <c r="E351" i="135"/>
  <c r="C351" i="135"/>
  <c r="E350" i="135"/>
  <c r="C350" i="135"/>
  <c r="E349" i="135"/>
  <c r="C349" i="135"/>
  <c r="E348" i="135"/>
  <c r="C348" i="135"/>
  <c r="E347" i="135"/>
  <c r="C347" i="135"/>
  <c r="N346" i="135"/>
  <c r="M346" i="135"/>
  <c r="L346" i="135"/>
  <c r="C346" i="135"/>
  <c r="N345" i="135"/>
  <c r="M345" i="135"/>
  <c r="L345" i="135"/>
  <c r="C345" i="135"/>
  <c r="N344" i="135"/>
  <c r="M344" i="135"/>
  <c r="L344" i="135"/>
  <c r="C344" i="135"/>
  <c r="E343" i="135"/>
  <c r="C343" i="135"/>
  <c r="N342" i="135"/>
  <c r="M342" i="135"/>
  <c r="L342" i="135"/>
  <c r="C342" i="135"/>
  <c r="N341" i="135"/>
  <c r="M341" i="135"/>
  <c r="L341" i="135"/>
  <c r="C341" i="135"/>
  <c r="N340" i="135"/>
  <c r="M340" i="135"/>
  <c r="L340" i="135"/>
  <c r="C340" i="135"/>
  <c r="N339" i="135"/>
  <c r="M339" i="135"/>
  <c r="L339" i="135"/>
  <c r="C339" i="135"/>
  <c r="E338" i="135"/>
  <c r="C338" i="135"/>
  <c r="N337" i="135"/>
  <c r="M337" i="135"/>
  <c r="L337" i="135"/>
  <c r="C337" i="135"/>
  <c r="N336" i="135"/>
  <c r="M336" i="135"/>
  <c r="L336" i="135"/>
  <c r="C336" i="135"/>
  <c r="N335" i="135"/>
  <c r="M335" i="135"/>
  <c r="L335" i="135"/>
  <c r="C335" i="135"/>
  <c r="N334" i="135"/>
  <c r="M334" i="135"/>
  <c r="L334" i="135"/>
  <c r="C334" i="135"/>
  <c r="E333" i="135"/>
  <c r="C333" i="135"/>
  <c r="E332" i="135"/>
  <c r="E331" i="135"/>
  <c r="C331" i="135"/>
  <c r="E330" i="135"/>
  <c r="C330" i="135"/>
  <c r="E325" i="135"/>
  <c r="C325" i="135"/>
  <c r="E323" i="135"/>
  <c r="C323" i="135"/>
  <c r="E320" i="135"/>
  <c r="C320" i="135"/>
  <c r="E319" i="135"/>
  <c r="C319" i="135"/>
  <c r="E318" i="135"/>
  <c r="C318" i="135"/>
  <c r="E317" i="135"/>
  <c r="C317" i="135"/>
  <c r="E316" i="135"/>
  <c r="C316" i="135"/>
  <c r="E315" i="135"/>
  <c r="C315" i="135"/>
  <c r="E314" i="135"/>
  <c r="C314" i="135"/>
  <c r="E313" i="135"/>
  <c r="C313" i="135"/>
  <c r="E312" i="135"/>
  <c r="C312" i="135"/>
  <c r="E310" i="135"/>
  <c r="C310" i="135"/>
  <c r="E309" i="135"/>
  <c r="C309" i="135"/>
  <c r="E308" i="135"/>
  <c r="C308" i="135"/>
  <c r="E307" i="135"/>
  <c r="C307" i="135"/>
  <c r="E306" i="135"/>
  <c r="C306" i="135"/>
  <c r="E305" i="135"/>
  <c r="C305" i="135"/>
  <c r="E304" i="135"/>
  <c r="C304" i="135"/>
  <c r="E301" i="135"/>
  <c r="C301" i="135"/>
  <c r="E300" i="135"/>
  <c r="C300" i="135"/>
  <c r="E299" i="135"/>
  <c r="C299" i="135"/>
  <c r="E298" i="135"/>
  <c r="C298" i="135"/>
  <c r="E297" i="135"/>
  <c r="C297" i="135"/>
  <c r="E296" i="135"/>
  <c r="C296" i="135"/>
  <c r="E295" i="135"/>
  <c r="C295" i="135"/>
  <c r="E294" i="135"/>
  <c r="C294" i="135"/>
  <c r="E293" i="135"/>
  <c r="C293" i="135"/>
  <c r="E292" i="135"/>
  <c r="C292" i="135"/>
  <c r="E291" i="135"/>
  <c r="C291" i="135"/>
  <c r="E290" i="135"/>
  <c r="C290" i="135"/>
  <c r="E289" i="135"/>
  <c r="C289" i="135"/>
  <c r="E288" i="135"/>
  <c r="C288" i="135"/>
  <c r="E287" i="135"/>
  <c r="C287" i="135"/>
  <c r="E286" i="135"/>
  <c r="C286" i="135"/>
  <c r="E285" i="135"/>
  <c r="C285" i="135"/>
  <c r="E284" i="135"/>
  <c r="C284" i="135"/>
  <c r="E283" i="135"/>
  <c r="C283" i="135"/>
  <c r="E282" i="135"/>
  <c r="C282" i="135"/>
  <c r="E281" i="135"/>
  <c r="C281" i="135"/>
  <c r="E280" i="135"/>
  <c r="C280" i="135"/>
  <c r="E279" i="135"/>
  <c r="C279" i="135"/>
  <c r="E278" i="135"/>
  <c r="C278" i="135"/>
  <c r="E277" i="135"/>
  <c r="C277" i="135"/>
  <c r="E276" i="135"/>
  <c r="C276" i="135"/>
  <c r="E275" i="135"/>
  <c r="C275" i="135"/>
  <c r="E274" i="135"/>
  <c r="C274" i="135"/>
  <c r="I273" i="135"/>
  <c r="E273" i="135" s="1"/>
  <c r="C273" i="135"/>
  <c r="I272" i="135"/>
  <c r="E272" i="135" s="1"/>
  <c r="C272" i="135"/>
  <c r="I271" i="135"/>
  <c r="E271" i="135" s="1"/>
  <c r="C271" i="135"/>
  <c r="I270" i="135"/>
  <c r="E270" i="135" s="1"/>
  <c r="C270" i="135"/>
  <c r="E269" i="135"/>
  <c r="C269" i="135"/>
  <c r="E268" i="135"/>
  <c r="C268" i="135"/>
  <c r="E267" i="135"/>
  <c r="C267" i="135"/>
  <c r="E266" i="135"/>
  <c r="C266" i="135"/>
  <c r="E265" i="135"/>
  <c r="C265" i="135"/>
  <c r="E264" i="135"/>
  <c r="C264" i="135"/>
  <c r="E263" i="135"/>
  <c r="C263" i="135"/>
  <c r="E262" i="135"/>
  <c r="C262" i="135"/>
  <c r="E261" i="135"/>
  <c r="C261" i="135"/>
  <c r="E260" i="135"/>
  <c r="C260" i="135"/>
  <c r="E259" i="135"/>
  <c r="C259" i="135"/>
  <c r="E258" i="135"/>
  <c r="C258" i="135"/>
  <c r="E257" i="135"/>
  <c r="C257" i="135"/>
  <c r="E256" i="135"/>
  <c r="C256" i="135"/>
  <c r="E255" i="135"/>
  <c r="C255" i="135"/>
  <c r="E254" i="135"/>
  <c r="C254" i="135"/>
  <c r="E253" i="135"/>
  <c r="C253" i="135"/>
  <c r="E252" i="135"/>
  <c r="C252" i="135"/>
  <c r="E251" i="135"/>
  <c r="C251" i="135"/>
  <c r="E250" i="135"/>
  <c r="C250" i="135"/>
  <c r="E249" i="135"/>
  <c r="C249" i="135"/>
  <c r="E248" i="135"/>
  <c r="C248" i="135"/>
  <c r="E247" i="135"/>
  <c r="C247" i="135"/>
  <c r="E246" i="135"/>
  <c r="C246" i="135"/>
  <c r="E245" i="135"/>
  <c r="C245" i="135"/>
  <c r="E244" i="135"/>
  <c r="C244" i="135"/>
  <c r="E243" i="135"/>
  <c r="C243" i="135"/>
  <c r="E242" i="135"/>
  <c r="C242" i="135"/>
  <c r="E241" i="135"/>
  <c r="C241" i="135"/>
  <c r="E240" i="135"/>
  <c r="C240" i="135"/>
  <c r="E239" i="135"/>
  <c r="C239" i="135"/>
  <c r="E238" i="135"/>
  <c r="C238" i="135"/>
  <c r="E237" i="135"/>
  <c r="C237" i="135"/>
  <c r="E236" i="135"/>
  <c r="C236" i="135"/>
  <c r="E235" i="135"/>
  <c r="C235" i="135"/>
  <c r="E234" i="135"/>
  <c r="C234" i="135"/>
  <c r="E233" i="135"/>
  <c r="C233" i="135"/>
  <c r="E232" i="135"/>
  <c r="C232" i="135"/>
  <c r="E231" i="135"/>
  <c r="C231" i="135"/>
  <c r="E230" i="135"/>
  <c r="C230" i="135"/>
  <c r="E229" i="135"/>
  <c r="C229" i="135"/>
  <c r="E228" i="135"/>
  <c r="C228" i="135"/>
  <c r="E227" i="135"/>
  <c r="C227" i="135"/>
  <c r="E226" i="135"/>
  <c r="C226" i="135"/>
  <c r="E225" i="135"/>
  <c r="C225" i="135"/>
  <c r="E224" i="135"/>
  <c r="C224" i="135"/>
  <c r="E223" i="135"/>
  <c r="C223" i="135"/>
  <c r="E219" i="135"/>
  <c r="C219" i="135"/>
  <c r="E218" i="135"/>
  <c r="C218" i="135"/>
  <c r="E217" i="135"/>
  <c r="C217" i="135"/>
  <c r="E216" i="135"/>
  <c r="C216" i="135"/>
  <c r="E215" i="135"/>
  <c r="C215" i="135"/>
  <c r="E214" i="135"/>
  <c r="C214" i="135"/>
  <c r="E213" i="135"/>
  <c r="C213" i="135"/>
  <c r="E212" i="135"/>
  <c r="C212" i="135"/>
  <c r="E211" i="135"/>
  <c r="C211" i="135"/>
  <c r="E210" i="135"/>
  <c r="C210" i="135"/>
  <c r="E209" i="135"/>
  <c r="C209" i="135"/>
  <c r="E208" i="135"/>
  <c r="C208" i="135"/>
  <c r="E207" i="135"/>
  <c r="C207" i="135"/>
  <c r="E206" i="135"/>
  <c r="C206" i="135"/>
  <c r="E205" i="135"/>
  <c r="C205" i="135"/>
  <c r="E204" i="135"/>
  <c r="C204" i="135"/>
  <c r="E203" i="135"/>
  <c r="C203" i="135"/>
  <c r="E202" i="135"/>
  <c r="C202" i="135"/>
  <c r="E201" i="135"/>
  <c r="C201" i="135"/>
  <c r="E197" i="135"/>
  <c r="C197" i="135"/>
  <c r="E196" i="135"/>
  <c r="C196" i="135"/>
  <c r="E195" i="135"/>
  <c r="C195" i="135"/>
  <c r="E194" i="135"/>
  <c r="C194" i="135"/>
  <c r="E193" i="135"/>
  <c r="C193" i="135"/>
  <c r="E192" i="135"/>
  <c r="C192" i="135"/>
  <c r="E191" i="135"/>
  <c r="C191" i="135"/>
  <c r="E190" i="135"/>
  <c r="C190" i="135"/>
  <c r="E189" i="135"/>
  <c r="C189" i="135"/>
  <c r="E188" i="135"/>
  <c r="C188" i="135"/>
  <c r="E187" i="135"/>
  <c r="C187" i="135"/>
  <c r="E186" i="135"/>
  <c r="C186" i="135"/>
  <c r="E185" i="135"/>
  <c r="C185" i="135"/>
  <c r="E184" i="135"/>
  <c r="C184" i="135"/>
  <c r="E183" i="135"/>
  <c r="C183" i="135"/>
  <c r="E182" i="135"/>
  <c r="C182" i="135"/>
  <c r="E181" i="135"/>
  <c r="C181" i="135"/>
  <c r="E180" i="135"/>
  <c r="C180" i="135"/>
  <c r="E179" i="135"/>
  <c r="C179" i="135"/>
  <c r="E178" i="135"/>
  <c r="C178" i="135"/>
  <c r="E177" i="135"/>
  <c r="C177" i="135"/>
  <c r="E176" i="135"/>
  <c r="C176" i="135"/>
  <c r="E175" i="135"/>
  <c r="C175" i="135"/>
  <c r="K174" i="135"/>
  <c r="I174" i="135"/>
  <c r="C174" i="135"/>
  <c r="E173" i="135"/>
  <c r="C173" i="135"/>
  <c r="K172" i="135"/>
  <c r="I172" i="135"/>
  <c r="G172" i="135"/>
  <c r="C172" i="135"/>
  <c r="E171" i="135"/>
  <c r="C171" i="135"/>
  <c r="E170" i="135"/>
  <c r="C170" i="135"/>
  <c r="E168" i="135"/>
  <c r="C168" i="135"/>
  <c r="E166" i="135"/>
  <c r="C166" i="135"/>
  <c r="E163" i="135"/>
  <c r="C163" i="135"/>
  <c r="E162" i="135"/>
  <c r="C162" i="135"/>
  <c r="E160" i="135"/>
  <c r="C160" i="135"/>
  <c r="E159" i="135"/>
  <c r="C159" i="135"/>
  <c r="E158" i="135"/>
  <c r="C158" i="135"/>
  <c r="E157" i="135"/>
  <c r="C157" i="135"/>
  <c r="E156" i="135"/>
  <c r="C156" i="135"/>
  <c r="E155" i="135"/>
  <c r="C155" i="135"/>
  <c r="E154" i="135"/>
  <c r="C154" i="135"/>
  <c r="E153" i="135"/>
  <c r="E152" i="135"/>
  <c r="E151" i="135"/>
  <c r="C151" i="135"/>
  <c r="E150" i="135"/>
  <c r="C150" i="135"/>
  <c r="E149" i="135"/>
  <c r="C149" i="135"/>
  <c r="E148" i="135"/>
  <c r="C148" i="135"/>
  <c r="E147" i="135"/>
  <c r="C147" i="135"/>
  <c r="E146" i="135"/>
  <c r="C146" i="135"/>
  <c r="E145" i="135"/>
  <c r="C145" i="135"/>
  <c r="E144" i="135"/>
  <c r="C144" i="135"/>
  <c r="E143" i="135"/>
  <c r="C143" i="135"/>
  <c r="E142" i="135"/>
  <c r="C142" i="135"/>
  <c r="E141" i="135"/>
  <c r="C141" i="135"/>
  <c r="E140" i="135"/>
  <c r="C140" i="135"/>
  <c r="E139" i="135"/>
  <c r="C139" i="135"/>
  <c r="E138" i="135"/>
  <c r="C138" i="135"/>
  <c r="E137" i="135"/>
  <c r="C137" i="135"/>
  <c r="E136" i="135"/>
  <c r="C136" i="135"/>
  <c r="E135" i="135"/>
  <c r="C135" i="135"/>
  <c r="E134" i="135"/>
  <c r="C134" i="135"/>
  <c r="U133" i="135"/>
  <c r="R133" i="135"/>
  <c r="U132" i="135"/>
  <c r="R132" i="135"/>
  <c r="E132" i="135"/>
  <c r="C132" i="135"/>
  <c r="E130" i="135"/>
  <c r="C130" i="135"/>
  <c r="E129" i="135"/>
  <c r="C129" i="135"/>
  <c r="E128" i="135"/>
  <c r="C128" i="135"/>
  <c r="E127" i="135"/>
  <c r="C127" i="135"/>
  <c r="E126" i="135"/>
  <c r="C126" i="135"/>
  <c r="E125" i="135"/>
  <c r="C125" i="135"/>
  <c r="E124" i="135"/>
  <c r="C124" i="135"/>
  <c r="E123" i="135"/>
  <c r="C123" i="135"/>
  <c r="E122" i="135"/>
  <c r="C122" i="135"/>
  <c r="E121" i="135"/>
  <c r="C121" i="135"/>
  <c r="E120" i="135"/>
  <c r="C120" i="135"/>
  <c r="E119" i="135"/>
  <c r="C119" i="135"/>
  <c r="E118" i="135"/>
  <c r="C118" i="135"/>
  <c r="E117" i="135"/>
  <c r="C117" i="135"/>
  <c r="E116" i="135"/>
  <c r="C116" i="135"/>
  <c r="E115" i="135"/>
  <c r="C115" i="135"/>
  <c r="E114" i="135"/>
  <c r="C114" i="135"/>
  <c r="E113" i="135"/>
  <c r="C113" i="135"/>
  <c r="E112" i="135"/>
  <c r="C112" i="135"/>
  <c r="E111" i="135"/>
  <c r="C111" i="135"/>
  <c r="E110" i="135"/>
  <c r="C110" i="135"/>
  <c r="E109" i="135"/>
  <c r="C109" i="135"/>
  <c r="E108" i="135"/>
  <c r="C108" i="135"/>
  <c r="E107" i="135"/>
  <c r="C107" i="135"/>
  <c r="E106" i="135"/>
  <c r="C106" i="135"/>
  <c r="E105" i="135"/>
  <c r="C105" i="135"/>
  <c r="E104" i="135"/>
  <c r="C104" i="135"/>
  <c r="E103" i="135"/>
  <c r="C103" i="135"/>
  <c r="E102" i="135"/>
  <c r="C102" i="135"/>
  <c r="E101" i="135"/>
  <c r="C101" i="135"/>
  <c r="E100" i="135"/>
  <c r="C100" i="135"/>
  <c r="E99" i="135"/>
  <c r="C99" i="135"/>
  <c r="E98" i="135"/>
  <c r="C98" i="135"/>
  <c r="E95" i="135"/>
  <c r="C95" i="135"/>
  <c r="E94" i="135"/>
  <c r="C94" i="135"/>
  <c r="E93" i="135"/>
  <c r="C93" i="135"/>
  <c r="E92" i="135"/>
  <c r="C92" i="135"/>
  <c r="E91" i="135"/>
  <c r="C91" i="135"/>
  <c r="E90" i="135"/>
  <c r="C90" i="135"/>
  <c r="E89" i="135"/>
  <c r="C89" i="135"/>
  <c r="E88" i="135"/>
  <c r="C88" i="135"/>
  <c r="E87" i="135"/>
  <c r="C87" i="135"/>
  <c r="E86" i="135"/>
  <c r="C86" i="135"/>
  <c r="E85" i="135"/>
  <c r="C85" i="135"/>
  <c r="E84" i="135"/>
  <c r="C84" i="135"/>
  <c r="E83" i="135"/>
  <c r="C83" i="135"/>
  <c r="E82" i="135"/>
  <c r="C82" i="135"/>
  <c r="E81" i="135"/>
  <c r="C81" i="135"/>
  <c r="E80" i="135"/>
  <c r="C80" i="135"/>
  <c r="E79" i="135"/>
  <c r="C79" i="135"/>
  <c r="E78" i="135"/>
  <c r="C78" i="135"/>
  <c r="E77" i="135"/>
  <c r="C77" i="135"/>
  <c r="E76" i="135"/>
  <c r="C76" i="135"/>
  <c r="E75" i="135"/>
  <c r="C75" i="135"/>
  <c r="E74" i="135"/>
  <c r="C74" i="135"/>
  <c r="E73" i="135"/>
  <c r="C73" i="135"/>
  <c r="E72" i="135"/>
  <c r="C72" i="135"/>
  <c r="E71" i="135"/>
  <c r="C71" i="135"/>
  <c r="E70" i="135"/>
  <c r="C70" i="135"/>
  <c r="E69" i="135"/>
  <c r="C69" i="135"/>
  <c r="E68" i="135"/>
  <c r="C68" i="135"/>
  <c r="E67" i="135"/>
  <c r="C67" i="135"/>
  <c r="E66" i="135"/>
  <c r="C66" i="135"/>
  <c r="E65" i="135"/>
  <c r="C65" i="135"/>
  <c r="E64" i="135"/>
  <c r="C64" i="135"/>
  <c r="E63" i="135"/>
  <c r="C63" i="135"/>
  <c r="E62" i="135"/>
  <c r="C62" i="135"/>
  <c r="E61" i="135"/>
  <c r="C61" i="135"/>
  <c r="E60" i="135"/>
  <c r="C60" i="135"/>
  <c r="E59" i="135"/>
  <c r="C59" i="135"/>
  <c r="E56" i="135"/>
  <c r="C56" i="135"/>
  <c r="E54" i="135"/>
  <c r="C54" i="135"/>
  <c r="E53" i="135"/>
  <c r="C53" i="135"/>
  <c r="E52" i="135"/>
  <c r="C52" i="135"/>
  <c r="E51" i="135"/>
  <c r="C51" i="135"/>
  <c r="E50" i="135"/>
  <c r="C50" i="135"/>
  <c r="E49" i="135"/>
  <c r="C49" i="135"/>
  <c r="E48" i="135"/>
  <c r="C48" i="135"/>
  <c r="E47" i="135"/>
  <c r="C47" i="135"/>
  <c r="E46" i="135"/>
  <c r="C46" i="135"/>
  <c r="E45" i="135"/>
  <c r="C45" i="135"/>
  <c r="E44" i="135"/>
  <c r="C44" i="135"/>
  <c r="E43" i="135"/>
  <c r="C43" i="135"/>
  <c r="E42" i="135"/>
  <c r="C42" i="135"/>
  <c r="E41" i="135"/>
  <c r="C41" i="135"/>
  <c r="E40" i="135"/>
  <c r="C40" i="135"/>
  <c r="E39" i="135"/>
  <c r="C39" i="135"/>
  <c r="E38" i="135"/>
  <c r="C38" i="135"/>
  <c r="E37" i="135"/>
  <c r="C37" i="135"/>
  <c r="E36" i="135"/>
  <c r="C36" i="135"/>
  <c r="E35" i="135"/>
  <c r="C35" i="135"/>
  <c r="E34" i="135"/>
  <c r="C34" i="135"/>
  <c r="E33" i="135"/>
  <c r="C33" i="135"/>
  <c r="E32" i="135"/>
  <c r="C32" i="135"/>
  <c r="E31" i="135"/>
  <c r="C31" i="135"/>
  <c r="E30" i="135"/>
  <c r="C30" i="135"/>
  <c r="E29" i="135"/>
  <c r="C29" i="135"/>
  <c r="E28" i="135"/>
  <c r="C28" i="135"/>
  <c r="E27" i="135"/>
  <c r="C27" i="135"/>
  <c r="E26" i="135"/>
  <c r="C26" i="135"/>
  <c r="E25" i="135"/>
  <c r="C25" i="135"/>
  <c r="E24" i="135"/>
  <c r="C24" i="135"/>
  <c r="E23" i="135"/>
  <c r="C23" i="135"/>
  <c r="E22" i="135"/>
  <c r="C22" i="135"/>
  <c r="E21" i="135"/>
  <c r="C21" i="135"/>
  <c r="E20" i="135"/>
  <c r="C20" i="135"/>
  <c r="E19" i="135"/>
  <c r="C19" i="135"/>
  <c r="E18" i="135"/>
  <c r="C18" i="135"/>
  <c r="E17" i="135"/>
  <c r="C17" i="135"/>
  <c r="E16" i="135"/>
  <c r="C16" i="135"/>
  <c r="E15" i="135"/>
  <c r="C15" i="135"/>
  <c r="E14" i="135"/>
  <c r="C14" i="135"/>
  <c r="E13" i="135"/>
  <c r="C13" i="135"/>
  <c r="E12" i="135"/>
  <c r="C12" i="135"/>
  <c r="E11" i="135"/>
  <c r="C11" i="135"/>
  <c r="E10" i="135"/>
  <c r="C10" i="135"/>
  <c r="E9" i="135"/>
  <c r="C9" i="135"/>
  <c r="E8" i="135"/>
  <c r="C8" i="135"/>
  <c r="E7" i="135"/>
  <c r="C7" i="135"/>
  <c r="E6" i="135"/>
  <c r="C6" i="135"/>
  <c r="E5" i="135"/>
  <c r="C5" i="135"/>
  <c r="E4" i="135"/>
  <c r="C4" i="135"/>
  <c r="E3" i="135"/>
  <c r="C3" i="135"/>
  <c r="A17" i="354"/>
  <c r="A11" i="354"/>
  <c r="A3" i="354"/>
  <c r="D24" i="616"/>
  <c r="D23" i="616"/>
  <c r="D22" i="616"/>
  <c r="D21" i="616"/>
  <c r="D20" i="616"/>
  <c r="D19" i="616"/>
  <c r="D18" i="616"/>
  <c r="D17" i="616"/>
  <c r="D16" i="616"/>
  <c r="D15" i="616"/>
  <c r="D10" i="616"/>
  <c r="D9" i="616"/>
  <c r="D8" i="616"/>
  <c r="D7" i="616"/>
  <c r="D6" i="616"/>
  <c r="D5" i="616"/>
  <c r="D4" i="616"/>
  <c r="D3" i="616"/>
  <c r="E9" i="701"/>
  <c r="E8" i="701"/>
  <c r="E7" i="701"/>
  <c r="E6" i="701"/>
  <c r="E5" i="701"/>
  <c r="E4" i="701"/>
  <c r="J7" i="643"/>
  <c r="P5" i="643"/>
  <c r="D5" i="643"/>
  <c r="F5" i="643" s="1"/>
  <c r="P4" i="643"/>
  <c r="D4" i="643"/>
  <c r="H4" i="643" s="1"/>
  <c r="H7" i="643" s="1"/>
  <c r="A17" i="642"/>
  <c r="A11" i="642"/>
  <c r="A3" i="642"/>
  <c r="D11" i="617"/>
  <c r="D10" i="617"/>
  <c r="D9" i="617"/>
  <c r="D5" i="617"/>
  <c r="D4" i="617"/>
  <c r="D3" i="617"/>
  <c r="A1" i="762"/>
  <c r="J26" i="722"/>
  <c r="T26" i="722" s="1"/>
  <c r="T28" i="722" s="1"/>
  <c r="M21" i="722"/>
  <c r="J21" i="722"/>
  <c r="J20" i="722"/>
  <c r="L20" i="722" s="1"/>
  <c r="M14" i="722"/>
  <c r="M13" i="722"/>
  <c r="M12" i="722"/>
  <c r="M11" i="722"/>
  <c r="M10" i="722"/>
  <c r="M9" i="722"/>
  <c r="M8" i="722"/>
  <c r="M7" i="722"/>
  <c r="M6" i="722"/>
  <c r="M5" i="722"/>
  <c r="M4" i="722"/>
  <c r="A1" i="722"/>
  <c r="I35" i="508"/>
  <c r="I31" i="508"/>
  <c r="I27" i="508"/>
  <c r="I13" i="508"/>
  <c r="I9" i="508"/>
  <c r="I5" i="508"/>
  <c r="A17" i="355"/>
  <c r="A11" i="355"/>
  <c r="A3" i="355"/>
  <c r="A17" i="352"/>
  <c r="A11" i="352"/>
  <c r="A3" i="352"/>
  <c r="F13" i="475"/>
  <c r="G13" i="475" s="1"/>
  <c r="O12" i="475"/>
  <c r="M12" i="475"/>
  <c r="K12" i="475"/>
  <c r="I12" i="475"/>
  <c r="F12" i="475"/>
  <c r="G12" i="475" s="1"/>
  <c r="O11" i="475"/>
  <c r="M11" i="475"/>
  <c r="K11" i="475"/>
  <c r="I11" i="475"/>
  <c r="F11" i="475"/>
  <c r="G11" i="475" s="1"/>
  <c r="F6" i="475"/>
  <c r="G6" i="475" s="1"/>
  <c r="F5" i="475"/>
  <c r="G5" i="475" s="1"/>
  <c r="O4" i="475"/>
  <c r="O8" i="475" s="1"/>
  <c r="M4" i="475"/>
  <c r="M8" i="475" s="1"/>
  <c r="K4" i="475"/>
  <c r="K8" i="475" s="1"/>
  <c r="I4" i="475"/>
  <c r="I8" i="475" s="1"/>
  <c r="F4" i="475"/>
  <c r="G4" i="475" s="1"/>
  <c r="A3" i="475"/>
  <c r="A10" i="475" s="1"/>
  <c r="A17" i="473"/>
  <c r="A11" i="473"/>
  <c r="A3" i="473"/>
  <c r="AH118" i="495"/>
  <c r="AH117" i="495" s="1"/>
  <c r="AH90" i="495"/>
  <c r="AH98" i="495" s="1"/>
  <c r="AH89" i="495"/>
  <c r="C89" i="495" s="1"/>
  <c r="AH83" i="495"/>
  <c r="AH69" i="495"/>
  <c r="AH64" i="495"/>
  <c r="AH35" i="495"/>
  <c r="I38" i="495" s="1"/>
  <c r="AH9" i="495"/>
  <c r="I13" i="495" s="1"/>
  <c r="G277" i="497"/>
  <c r="G276" i="497"/>
  <c r="G275" i="497"/>
  <c r="G211" i="497"/>
  <c r="G210" i="497"/>
  <c r="G209" i="497"/>
  <c r="G143" i="497"/>
  <c r="C144" i="497" s="1"/>
  <c r="J144" i="497" s="1"/>
  <c r="G79" i="497"/>
  <c r="G78" i="497"/>
  <c r="G77" i="497"/>
  <c r="I21" i="497"/>
  <c r="G17" i="497"/>
  <c r="J17" i="497" s="1"/>
  <c r="I17" i="497" s="1"/>
  <c r="E12" i="497"/>
  <c r="E11" i="497"/>
  <c r="F245" i="496"/>
  <c r="G245" i="496" s="1"/>
  <c r="G246" i="496" s="1"/>
  <c r="E241" i="496"/>
  <c r="G241" i="496" s="1"/>
  <c r="G243" i="496" s="1"/>
  <c r="C241" i="496"/>
  <c r="F220" i="496"/>
  <c r="G220" i="496" s="1"/>
  <c r="G216" i="496"/>
  <c r="G218" i="496" s="1"/>
  <c r="C216" i="496"/>
  <c r="F191" i="496"/>
  <c r="G191" i="496" s="1"/>
  <c r="G187" i="496"/>
  <c r="G189" i="496" s="1"/>
  <c r="C187" i="496"/>
  <c r="F167" i="496"/>
  <c r="G167" i="496" s="1"/>
  <c r="G163" i="496"/>
  <c r="G165" i="496" s="1"/>
  <c r="C163" i="496"/>
  <c r="F139" i="496"/>
  <c r="G139" i="496" s="1"/>
  <c r="G135" i="496"/>
  <c r="G137" i="496" s="1"/>
  <c r="C161" i="497" s="1"/>
  <c r="G161" i="497" s="1"/>
  <c r="L161" i="497" s="1"/>
  <c r="L162" i="497" s="1"/>
  <c r="C135" i="496"/>
  <c r="F115" i="496"/>
  <c r="G115" i="496" s="1"/>
  <c r="G111" i="496"/>
  <c r="G113" i="496" s="1"/>
  <c r="C111" i="496"/>
  <c r="F88" i="496"/>
  <c r="G88" i="496" s="1"/>
  <c r="G84" i="496"/>
  <c r="G82" i="496"/>
  <c r="F63" i="496"/>
  <c r="G63" i="496" s="1"/>
  <c r="G59" i="496"/>
  <c r="G61" i="496" s="1"/>
  <c r="C59" i="496"/>
  <c r="F34" i="496"/>
  <c r="G34" i="496" s="1"/>
  <c r="E30" i="496"/>
  <c r="G30" i="496" s="1"/>
  <c r="G32" i="496" s="1"/>
  <c r="C30" i="496"/>
  <c r="N17" i="496"/>
  <c r="G11" i="496"/>
  <c r="Z9" i="496"/>
  <c r="T7" i="496"/>
  <c r="R7" i="496"/>
  <c r="P7" i="496"/>
  <c r="E7" i="496"/>
  <c r="G7" i="496" s="1"/>
  <c r="C7" i="496"/>
  <c r="N17" i="494"/>
  <c r="F11" i="494"/>
  <c r="G11" i="494" s="1"/>
  <c r="Z9" i="494"/>
  <c r="G7" i="494"/>
  <c r="G9" i="494" s="1"/>
  <c r="C7" i="494"/>
  <c r="N3" i="494"/>
  <c r="V15" i="494" s="1"/>
  <c r="I4" i="356"/>
  <c r="A17" i="349"/>
  <c r="A11" i="349"/>
  <c r="A3" i="349"/>
  <c r="G39" i="482"/>
  <c r="G29" i="482"/>
  <c r="G38" i="482" s="1"/>
  <c r="D42" i="745"/>
  <c r="F42" i="745" s="1"/>
  <c r="K42" i="745" s="1"/>
  <c r="D41" i="745"/>
  <c r="F41" i="745" s="1"/>
  <c r="K41" i="745" s="1"/>
  <c r="D40" i="745"/>
  <c r="F40" i="745" s="1"/>
  <c r="K40" i="745" s="1"/>
  <c r="D39" i="745"/>
  <c r="F39" i="745" s="1"/>
  <c r="K39" i="745" s="1"/>
  <c r="K44" i="745" s="1"/>
  <c r="F5" i="745" s="1"/>
  <c r="K5" i="745" s="1"/>
  <c r="F34" i="745"/>
  <c r="K34" i="745" s="1"/>
  <c r="D33" i="745"/>
  <c r="F33" i="745" s="1"/>
  <c r="K33" i="745" s="1"/>
  <c r="D32" i="745"/>
  <c r="F32" i="745" s="1"/>
  <c r="K32" i="745" s="1"/>
  <c r="D31" i="745"/>
  <c r="F31" i="745" s="1"/>
  <c r="K31" i="745" s="1"/>
  <c r="D30" i="745"/>
  <c r="F30" i="745" s="1"/>
  <c r="K30" i="745" s="1"/>
  <c r="D29" i="745"/>
  <c r="F29" i="745" s="1"/>
  <c r="K29" i="745" s="1"/>
  <c r="D28" i="745"/>
  <c r="F28" i="745" s="1"/>
  <c r="K28" i="745" s="1"/>
  <c r="K36" i="745" s="1"/>
  <c r="F4" i="745" s="1"/>
  <c r="K4" i="745" s="1"/>
  <c r="K7" i="745" s="1"/>
  <c r="A5" i="745"/>
  <c r="A4" i="745"/>
  <c r="K3" i="347"/>
  <c r="A3" i="347"/>
  <c r="A2" i="346" s="1"/>
  <c r="B1" i="356" s="1"/>
  <c r="A1" i="357" s="1"/>
  <c r="H13" i="460"/>
  <c r="I13" i="460" s="1"/>
  <c r="I20" i="460" s="1"/>
  <c r="B6" i="345"/>
  <c r="H41" i="357" l="1"/>
  <c r="I41" i="357" s="1"/>
  <c r="I43" i="357" s="1"/>
  <c r="O15" i="475"/>
  <c r="E337" i="135"/>
  <c r="F38" i="357"/>
  <c r="G38" i="357" s="1"/>
  <c r="F40" i="357"/>
  <c r="G40" i="357" s="1"/>
  <c r="L40" i="357" s="1"/>
  <c r="F39" i="357"/>
  <c r="G39" i="357" s="1"/>
  <c r="L39" i="357" s="1"/>
  <c r="E41" i="348"/>
  <c r="F41" i="348" s="1"/>
  <c r="K41" i="348" s="1"/>
  <c r="E37" i="348"/>
  <c r="F37" i="348" s="1"/>
  <c r="K37" i="348" s="1"/>
  <c r="E39" i="348"/>
  <c r="F39" i="348" s="1"/>
  <c r="K39" i="348" s="1"/>
  <c r="E42" i="348"/>
  <c r="F42" i="348" s="1"/>
  <c r="K42" i="348" s="1"/>
  <c r="E36" i="348"/>
  <c r="F36" i="348" s="1"/>
  <c r="K36" i="348" s="1"/>
  <c r="E16" i="348"/>
  <c r="F16" i="348" s="1"/>
  <c r="K16" i="348" s="1"/>
  <c r="E15" i="348"/>
  <c r="F15" i="348" s="1"/>
  <c r="K15" i="348" s="1"/>
  <c r="E13" i="348"/>
  <c r="F13" i="348" s="1"/>
  <c r="K13" i="348" s="1"/>
  <c r="E11" i="348"/>
  <c r="F11" i="348" s="1"/>
  <c r="K11" i="348" s="1"/>
  <c r="E14" i="348"/>
  <c r="F14" i="348" s="1"/>
  <c r="K14" i="348" s="1"/>
  <c r="E38" i="348"/>
  <c r="F38" i="348" s="1"/>
  <c r="K38" i="348" s="1"/>
  <c r="E40" i="348"/>
  <c r="F40" i="348" s="1"/>
  <c r="K40" i="348" s="1"/>
  <c r="E6" i="348"/>
  <c r="F6" i="348" s="1"/>
  <c r="K6" i="348" s="1"/>
  <c r="E5" i="348"/>
  <c r="F5" i="348" s="1"/>
  <c r="K5" i="348" s="1"/>
  <c r="E12" i="348"/>
  <c r="F12" i="348" s="1"/>
  <c r="K12" i="348" s="1"/>
  <c r="E34" i="348"/>
  <c r="F34" i="348" s="1"/>
  <c r="K34" i="348" s="1"/>
  <c r="E35" i="348"/>
  <c r="F35" i="348" s="1"/>
  <c r="K35" i="348" s="1"/>
  <c r="E7" i="348"/>
  <c r="F7" i="348" s="1"/>
  <c r="K7" i="348" s="1"/>
  <c r="E33" i="348"/>
  <c r="F33" i="348" s="1"/>
  <c r="K33" i="348" s="1"/>
  <c r="E32" i="348"/>
  <c r="F32" i="348" s="1"/>
  <c r="K32" i="348" s="1"/>
  <c r="E29" i="348"/>
  <c r="F29" i="348" s="1"/>
  <c r="K29" i="348" s="1"/>
  <c r="E31" i="348"/>
  <c r="F31" i="348" s="1"/>
  <c r="K31" i="348" s="1"/>
  <c r="E28" i="348"/>
  <c r="F28" i="348" s="1"/>
  <c r="E30" i="348"/>
  <c r="F30" i="348" s="1"/>
  <c r="K30" i="348" s="1"/>
  <c r="E4" i="348"/>
  <c r="F4" i="348" s="1"/>
  <c r="K4" i="348" s="1"/>
  <c r="F24" i="357"/>
  <c r="G24" i="357" s="1"/>
  <c r="L24" i="357" s="1"/>
  <c r="H25" i="357"/>
  <c r="I25" i="357" s="1"/>
  <c r="F23" i="357"/>
  <c r="G23" i="357" s="1"/>
  <c r="L23" i="357" s="1"/>
  <c r="F22" i="357"/>
  <c r="G22" i="357" s="1"/>
  <c r="E9" i="348"/>
  <c r="F9" i="348" s="1"/>
  <c r="K9" i="348" s="1"/>
  <c r="M15" i="475"/>
  <c r="G9" i="496"/>
  <c r="C32" i="497" s="1"/>
  <c r="G32" i="497" s="1"/>
  <c r="L33" i="497" s="1"/>
  <c r="K15" i="475"/>
  <c r="F32" i="357"/>
  <c r="G32" i="357" s="1"/>
  <c r="L32" i="357" s="1"/>
  <c r="F30" i="357"/>
  <c r="G30" i="357" s="1"/>
  <c r="G49" i="348"/>
  <c r="H33" i="357"/>
  <c r="I33" i="357" s="1"/>
  <c r="F31" i="357"/>
  <c r="G31" i="357" s="1"/>
  <c r="L31" i="357" s="1"/>
  <c r="G50" i="348"/>
  <c r="H50" i="348" s="1"/>
  <c r="A27" i="348"/>
  <c r="A6" i="347" s="1"/>
  <c r="L29" i="482"/>
  <c r="G22" i="348"/>
  <c r="H22" i="348" s="1"/>
  <c r="K22" i="348" s="1"/>
  <c r="AH116" i="495"/>
  <c r="C116" i="495" s="1"/>
  <c r="G8" i="475"/>
  <c r="I15" i="475"/>
  <c r="N21" i="722"/>
  <c r="N3" i="496"/>
  <c r="V15" i="496" s="1"/>
  <c r="H17" i="357"/>
  <c r="I17" i="357" s="1"/>
  <c r="F15" i="357"/>
  <c r="G15" i="357" s="1"/>
  <c r="L15" i="357" s="1"/>
  <c r="F16" i="357"/>
  <c r="G16" i="357" s="1"/>
  <c r="L16" i="357" s="1"/>
  <c r="F14" i="357"/>
  <c r="G14" i="357" s="1"/>
  <c r="G20" i="348"/>
  <c r="G15" i="475"/>
  <c r="G21" i="348"/>
  <c r="G86" i="496"/>
  <c r="F8" i="357"/>
  <c r="G8" i="357" s="1"/>
  <c r="L8" i="357" s="1"/>
  <c r="F6" i="357"/>
  <c r="G6" i="357" s="1"/>
  <c r="L6" i="357" s="1"/>
  <c r="F7" i="357"/>
  <c r="G7" i="357" s="1"/>
  <c r="L7" i="357" s="1"/>
  <c r="H9" i="357"/>
  <c r="I9" i="357" s="1"/>
  <c r="F4" i="361"/>
  <c r="F7" i="361" s="1"/>
  <c r="L7" i="361" s="1"/>
  <c r="E385" i="135"/>
  <c r="C278" i="497"/>
  <c r="J278" i="497" s="1"/>
  <c r="I278" i="497" s="1"/>
  <c r="I12" i="495"/>
  <c r="N20" i="722"/>
  <c r="L21" i="722"/>
  <c r="L26" i="722"/>
  <c r="E174" i="135"/>
  <c r="E8" i="348" s="1"/>
  <c r="F8" i="348" s="1"/>
  <c r="K8" i="348" s="1"/>
  <c r="E342" i="135"/>
  <c r="E345" i="135"/>
  <c r="E346" i="135"/>
  <c r="E335" i="135"/>
  <c r="E336" i="135"/>
  <c r="E341" i="135"/>
  <c r="E340" i="135"/>
  <c r="V17" i="496"/>
  <c r="C80" i="497"/>
  <c r="J80" i="497" s="1"/>
  <c r="I80" i="497" s="1"/>
  <c r="C212" i="497"/>
  <c r="J212" i="497" s="1"/>
  <c r="I212" i="497" s="1"/>
  <c r="E172" i="135"/>
  <c r="L38" i="482"/>
  <c r="V17" i="494"/>
  <c r="I6" i="701"/>
  <c r="I8" i="701"/>
  <c r="E334" i="135"/>
  <c r="E339" i="135"/>
  <c r="E344" i="135"/>
  <c r="E386" i="135"/>
  <c r="H4" i="701"/>
  <c r="H5" i="701"/>
  <c r="H6" i="701"/>
  <c r="H7" i="701"/>
  <c r="H8" i="701"/>
  <c r="H9" i="701"/>
  <c r="F4" i="643"/>
  <c r="F7" i="643" s="1"/>
  <c r="K7" i="643" s="1"/>
  <c r="C12" i="497"/>
  <c r="G12" i="497" s="1"/>
  <c r="L13" i="497" s="1"/>
  <c r="G64" i="496"/>
  <c r="G66" i="496" s="1"/>
  <c r="C297" i="497"/>
  <c r="G297" i="497" s="1"/>
  <c r="C231" i="497"/>
  <c r="G231" i="497" s="1"/>
  <c r="C99" i="497"/>
  <c r="G99" i="497" s="1"/>
  <c r="C283" i="497"/>
  <c r="G283" i="497" s="1"/>
  <c r="L283" i="497" s="1"/>
  <c r="L284" i="497" s="1"/>
  <c r="C85" i="497"/>
  <c r="G85" i="497" s="1"/>
  <c r="L85" i="497" s="1"/>
  <c r="L86" i="497" s="1"/>
  <c r="C217" i="497"/>
  <c r="G217" i="497" s="1"/>
  <c r="L217" i="497" s="1"/>
  <c r="L218" i="497" s="1"/>
  <c r="G192" i="496"/>
  <c r="G194" i="496" s="1"/>
  <c r="E39" i="495"/>
  <c r="E13" i="495"/>
  <c r="L13" i="495" s="1"/>
  <c r="G12" i="496"/>
  <c r="G14" i="496" s="1"/>
  <c r="G35" i="496"/>
  <c r="G37" i="496" s="1"/>
  <c r="G116" i="496"/>
  <c r="G118" i="496" s="1"/>
  <c r="G168" i="496"/>
  <c r="G170" i="496" s="1"/>
  <c r="C289" i="497"/>
  <c r="G289" i="497" s="1"/>
  <c r="L289" i="497" s="1"/>
  <c r="L290" i="497" s="1"/>
  <c r="C91" i="497"/>
  <c r="G91" i="497" s="1"/>
  <c r="L91" i="497" s="1"/>
  <c r="L92" i="497" s="1"/>
  <c r="C223" i="497"/>
  <c r="G223" i="497" s="1"/>
  <c r="L223" i="497" s="1"/>
  <c r="L224" i="497" s="1"/>
  <c r="C155" i="497"/>
  <c r="G155" i="497" s="1"/>
  <c r="L155" i="497" s="1"/>
  <c r="L156" i="497" s="1"/>
  <c r="G221" i="496"/>
  <c r="G223" i="496" s="1"/>
  <c r="C149" i="497"/>
  <c r="G149" i="497" s="1"/>
  <c r="L149" i="497" s="1"/>
  <c r="L150" i="497" s="1"/>
  <c r="I144" i="497"/>
  <c r="G12" i="494"/>
  <c r="G14" i="494" s="1"/>
  <c r="G89" i="496"/>
  <c r="G91" i="496" s="1"/>
  <c r="G140" i="496"/>
  <c r="G142" i="496" s="1"/>
  <c r="G248" i="496"/>
  <c r="C148" i="497" s="1"/>
  <c r="G148" i="497" s="1"/>
  <c r="K148" i="497" s="1"/>
  <c r="K150" i="497" s="1"/>
  <c r="V7" i="494"/>
  <c r="F16" i="494" s="1"/>
  <c r="G16" i="494" s="1"/>
  <c r="G20" i="494" s="1"/>
  <c r="V9" i="494"/>
  <c r="V11" i="494"/>
  <c r="V13" i="494"/>
  <c r="V7" i="496"/>
  <c r="V11" i="496"/>
  <c r="V13" i="496"/>
  <c r="C303" i="497"/>
  <c r="G303" i="497" s="1"/>
  <c r="C237" i="497"/>
  <c r="G237" i="497" s="1"/>
  <c r="C105" i="497"/>
  <c r="G105" i="497" s="1"/>
  <c r="I11" i="495"/>
  <c r="I37" i="495"/>
  <c r="I39" i="495"/>
  <c r="C83" i="495"/>
  <c r="B64" i="495"/>
  <c r="AH99" i="495"/>
  <c r="C99" i="495" s="1"/>
  <c r="C98" i="495"/>
  <c r="AH125" i="495"/>
  <c r="AH121" i="495"/>
  <c r="I5" i="701"/>
  <c r="I7" i="701"/>
  <c r="I9" i="701"/>
  <c r="AH70" i="495"/>
  <c r="AH94" i="495"/>
  <c r="I4" i="701"/>
  <c r="I21" i="460"/>
  <c r="I22" i="460" s="1"/>
  <c r="D30" i="346" s="1"/>
  <c r="I10" i="460"/>
  <c r="I11" i="460" s="1"/>
  <c r="I12" i="460" s="1"/>
  <c r="H5" i="643"/>
  <c r="K5" i="643" s="1"/>
  <c r="H5" i="361"/>
  <c r="L5" i="361" s="1"/>
  <c r="L41" i="357" l="1"/>
  <c r="L38" i="357"/>
  <c r="G43" i="357"/>
  <c r="G9" i="356" s="1"/>
  <c r="I9" i="356"/>
  <c r="K28" i="348"/>
  <c r="E48" i="348"/>
  <c r="E47" i="348"/>
  <c r="G27" i="357"/>
  <c r="L22" i="357"/>
  <c r="L25" i="357"/>
  <c r="I27" i="357"/>
  <c r="I7" i="356" s="1"/>
  <c r="G44" i="348" s="1"/>
  <c r="H44" i="348" s="1"/>
  <c r="E19" i="348"/>
  <c r="L165" i="497"/>
  <c r="V9" i="496"/>
  <c r="K50" i="348"/>
  <c r="L33" i="357"/>
  <c r="I35" i="357"/>
  <c r="I8" i="356" s="1"/>
  <c r="G45" i="348" s="1"/>
  <c r="H45" i="348" s="1"/>
  <c r="L30" i="357"/>
  <c r="G35" i="357"/>
  <c r="I11" i="701"/>
  <c r="G19" i="357"/>
  <c r="L14" i="357"/>
  <c r="L17" i="357"/>
  <c r="I19" i="357"/>
  <c r="I6" i="356" s="1"/>
  <c r="L9" i="357"/>
  <c r="I11" i="357"/>
  <c r="I5" i="356" s="1"/>
  <c r="G10" i="348" s="1"/>
  <c r="L39" i="482"/>
  <c r="L41" i="482" s="1"/>
  <c r="G4" i="482" s="1"/>
  <c r="L4" i="361"/>
  <c r="G11" i="357"/>
  <c r="K4" i="643"/>
  <c r="L39" i="495"/>
  <c r="AH100" i="495"/>
  <c r="AH107" i="495" s="1"/>
  <c r="C107" i="495" s="1"/>
  <c r="C236" i="497"/>
  <c r="G236" i="497" s="1"/>
  <c r="C302" i="497"/>
  <c r="G302" i="497" s="1"/>
  <c r="C160" i="497"/>
  <c r="G160" i="497" s="1"/>
  <c r="K160" i="497" s="1"/>
  <c r="K162" i="497" s="1"/>
  <c r="C104" i="497"/>
  <c r="G104" i="497" s="1"/>
  <c r="E37" i="495"/>
  <c r="L37" i="495" s="1"/>
  <c r="E11" i="495"/>
  <c r="L11" i="495" s="1"/>
  <c r="G22" i="494"/>
  <c r="C11" i="497"/>
  <c r="G11" i="497" s="1"/>
  <c r="K13" i="497" s="1"/>
  <c r="C31" i="497"/>
  <c r="G31" i="497" s="1"/>
  <c r="K33" i="497" s="1"/>
  <c r="C288" i="497"/>
  <c r="G288" i="497" s="1"/>
  <c r="K288" i="497" s="1"/>
  <c r="K290" i="497" s="1"/>
  <c r="C222" i="497"/>
  <c r="G222" i="497" s="1"/>
  <c r="K222" i="497" s="1"/>
  <c r="K224" i="497" s="1"/>
  <c r="C154" i="497"/>
  <c r="G154" i="497" s="1"/>
  <c r="K154" i="497" s="1"/>
  <c r="K156" i="497" s="1"/>
  <c r="C90" i="497"/>
  <c r="G90" i="497" s="1"/>
  <c r="K90" i="497" s="1"/>
  <c r="K92" i="497" s="1"/>
  <c r="C70" i="495"/>
  <c r="AH126" i="495"/>
  <c r="AH127" i="495" s="1"/>
  <c r="AH135" i="495" s="1"/>
  <c r="C135" i="495" s="1"/>
  <c r="C125" i="495"/>
  <c r="AH71" i="495"/>
  <c r="C71" i="495" s="1"/>
  <c r="L105" i="497"/>
  <c r="L106" i="497" s="1"/>
  <c r="E111" i="497"/>
  <c r="E243" i="497"/>
  <c r="L237" i="497"/>
  <c r="L238" i="497" s="1"/>
  <c r="F120" i="496"/>
  <c r="G120" i="496" s="1"/>
  <c r="G124" i="496" s="1"/>
  <c r="G126" i="496" s="1"/>
  <c r="F68" i="496"/>
  <c r="G68" i="496" s="1"/>
  <c r="G72" i="496" s="1"/>
  <c r="G74" i="496" s="1"/>
  <c r="F144" i="496"/>
  <c r="G144" i="496" s="1"/>
  <c r="G148" i="496" s="1"/>
  <c r="AH75" i="495"/>
  <c r="C75" i="495"/>
  <c r="C282" i="497"/>
  <c r="G282" i="497" s="1"/>
  <c r="K282" i="497" s="1"/>
  <c r="K284" i="497" s="1"/>
  <c r="C216" i="497"/>
  <c r="G216" i="497" s="1"/>
  <c r="K216" i="497" s="1"/>
  <c r="K218" i="497" s="1"/>
  <c r="C84" i="497"/>
  <c r="G84" i="497" s="1"/>
  <c r="K84" i="497" s="1"/>
  <c r="K86" i="497" s="1"/>
  <c r="C296" i="497"/>
  <c r="G296" i="497" s="1"/>
  <c r="C230" i="497"/>
  <c r="G230" i="497" s="1"/>
  <c r="C98" i="497"/>
  <c r="G98" i="497" s="1"/>
  <c r="C111" i="497"/>
  <c r="L99" i="497"/>
  <c r="L100" i="497" s="1"/>
  <c r="C309" i="497"/>
  <c r="L297" i="497"/>
  <c r="L298" i="497" s="1"/>
  <c r="AH109" i="495"/>
  <c r="B94" i="495"/>
  <c r="AH137" i="495"/>
  <c r="C137" i="495" s="1"/>
  <c r="B121" i="495"/>
  <c r="L303" i="497"/>
  <c r="L304" i="497" s="1"/>
  <c r="E309" i="497"/>
  <c r="F196" i="496"/>
  <c r="G196" i="496" s="1"/>
  <c r="G200" i="496" s="1"/>
  <c r="F39" i="496"/>
  <c r="G39" i="496" s="1"/>
  <c r="G43" i="496" s="1"/>
  <c r="G45" i="496" s="1"/>
  <c r="F250" i="496"/>
  <c r="G250" i="496" s="1"/>
  <c r="G254" i="496" s="1"/>
  <c r="C147" i="497" s="1"/>
  <c r="G147" i="497" s="1"/>
  <c r="F225" i="496"/>
  <c r="G225" i="496" s="1"/>
  <c r="G229" i="496" s="1"/>
  <c r="G231" i="496" s="1"/>
  <c r="F172" i="496"/>
  <c r="G172" i="496" s="1"/>
  <c r="G176" i="496" s="1"/>
  <c r="F93" i="496"/>
  <c r="G93" i="496" s="1"/>
  <c r="G97" i="496" s="1"/>
  <c r="G99" i="496" s="1"/>
  <c r="F16" i="496"/>
  <c r="G16" i="496" s="1"/>
  <c r="AH130" i="495"/>
  <c r="AH103" i="495"/>
  <c r="E38" i="495"/>
  <c r="L38" i="495" s="1"/>
  <c r="E12" i="495"/>
  <c r="L12" i="495" s="1"/>
  <c r="C243" i="497"/>
  <c r="L231" i="497"/>
  <c r="L232" i="497" s="1"/>
  <c r="L35" i="497"/>
  <c r="L4" i="497" s="1"/>
  <c r="L43" i="357" l="1"/>
  <c r="L9" i="356"/>
  <c r="G43" i="348"/>
  <c r="E18" i="348"/>
  <c r="L27" i="357"/>
  <c r="G7" i="356"/>
  <c r="E44" i="348" s="1"/>
  <c r="F44" i="348" s="1"/>
  <c r="K44" i="348" s="1"/>
  <c r="C100" i="495"/>
  <c r="G111" i="497"/>
  <c r="L111" i="497" s="1"/>
  <c r="L112" i="497" s="1"/>
  <c r="L114" i="497" s="1"/>
  <c r="G20" i="496"/>
  <c r="C10" i="497" s="1"/>
  <c r="G10" i="497" s="1"/>
  <c r="G243" i="497"/>
  <c r="L243" i="497" s="1"/>
  <c r="L244" i="497" s="1"/>
  <c r="L246" i="497" s="1"/>
  <c r="G8" i="356"/>
  <c r="E45" i="348" s="1"/>
  <c r="F45" i="348" s="1"/>
  <c r="K45" i="348" s="1"/>
  <c r="L35" i="357"/>
  <c r="K165" i="497"/>
  <c r="G6" i="356"/>
  <c r="L19" i="357"/>
  <c r="G256" i="496"/>
  <c r="G7" i="482"/>
  <c r="L7" i="482" s="1"/>
  <c r="L4" i="482"/>
  <c r="G5" i="356"/>
  <c r="E10" i="348" s="1"/>
  <c r="F10" i="348" s="1"/>
  <c r="L11" i="357"/>
  <c r="H10" i="348"/>
  <c r="K35" i="497"/>
  <c r="K4" i="497" s="1"/>
  <c r="C126" i="495"/>
  <c r="AH104" i="495"/>
  <c r="AH108" i="495" s="1"/>
  <c r="C103" i="495"/>
  <c r="C281" i="497"/>
  <c r="G281" i="497" s="1"/>
  <c r="C83" i="497"/>
  <c r="G83" i="497" s="1"/>
  <c r="C215" i="497"/>
  <c r="G215" i="497" s="1"/>
  <c r="G150" i="497"/>
  <c r="J147" i="497"/>
  <c r="J150" i="497" s="1"/>
  <c r="C287" i="497"/>
  <c r="G287" i="497" s="1"/>
  <c r="C89" i="497"/>
  <c r="G89" i="497" s="1"/>
  <c r="C221" i="497"/>
  <c r="G221" i="497" s="1"/>
  <c r="C153" i="497"/>
  <c r="G153" i="497" s="1"/>
  <c r="C110" i="497"/>
  <c r="K98" i="497"/>
  <c r="K100" i="497" s="1"/>
  <c r="C308" i="497"/>
  <c r="K296" i="497"/>
  <c r="K298" i="497" s="1"/>
  <c r="C301" i="497"/>
  <c r="G301" i="497" s="1"/>
  <c r="C235" i="497"/>
  <c r="G235" i="497" s="1"/>
  <c r="C103" i="497"/>
  <c r="G103" i="497" s="1"/>
  <c r="C159" i="497"/>
  <c r="G159" i="497" s="1"/>
  <c r="C295" i="497"/>
  <c r="G295" i="497" s="1"/>
  <c r="C97" i="497"/>
  <c r="G97" i="497" s="1"/>
  <c r="C229" i="497"/>
  <c r="G229" i="497" s="1"/>
  <c r="C127" i="495"/>
  <c r="G202" i="496"/>
  <c r="L41" i="495"/>
  <c r="E110" i="497"/>
  <c r="K104" i="497"/>
  <c r="K106" i="497" s="1"/>
  <c r="E308" i="497"/>
  <c r="K302" i="497"/>
  <c r="K304" i="497" s="1"/>
  <c r="C130" i="495"/>
  <c r="AH132" i="495"/>
  <c r="AH136" i="495" s="1"/>
  <c r="C136" i="495" s="1"/>
  <c r="C109" i="495"/>
  <c r="G309" i="497"/>
  <c r="L309" i="497" s="1"/>
  <c r="L310" i="497" s="1"/>
  <c r="L312" i="497" s="1"/>
  <c r="G178" i="496"/>
  <c r="C242" i="497"/>
  <c r="K230" i="497"/>
  <c r="K232" i="497" s="1"/>
  <c r="AH82" i="495"/>
  <c r="C77" i="495"/>
  <c r="AH81" i="495"/>
  <c r="L15" i="495"/>
  <c r="G150" i="496"/>
  <c r="E242" i="497"/>
  <c r="K236" i="497"/>
  <c r="K238" i="497" s="1"/>
  <c r="H43" i="348" l="1"/>
  <c r="K10" i="348"/>
  <c r="E43" i="348"/>
  <c r="F43" i="348" s="1"/>
  <c r="L7" i="356"/>
  <c r="G22" i="496"/>
  <c r="C30" i="497"/>
  <c r="G30" i="497" s="1"/>
  <c r="J25" i="348"/>
  <c r="J5" i="347" s="1"/>
  <c r="L8" i="356"/>
  <c r="L6" i="356"/>
  <c r="C81" i="495"/>
  <c r="C82" i="495"/>
  <c r="C104" i="495"/>
  <c r="L5" i="356"/>
  <c r="C241" i="497"/>
  <c r="G232" i="497"/>
  <c r="J229" i="497"/>
  <c r="J232" i="497" s="1"/>
  <c r="I232" i="497" s="1"/>
  <c r="C307" i="497"/>
  <c r="J295" i="497"/>
  <c r="J298" i="497" s="1"/>
  <c r="I298" i="497" s="1"/>
  <c r="G298" i="497"/>
  <c r="J103" i="497"/>
  <c r="J106" i="497" s="1"/>
  <c r="I106" i="497" s="1"/>
  <c r="E109" i="497"/>
  <c r="G106" i="497"/>
  <c r="J301" i="497"/>
  <c r="J304" i="497" s="1"/>
  <c r="I304" i="497" s="1"/>
  <c r="E307" i="497"/>
  <c r="G304" i="497"/>
  <c r="G156" i="497"/>
  <c r="J153" i="497"/>
  <c r="J156" i="497" s="1"/>
  <c r="I156" i="497" s="1"/>
  <c r="J89" i="497"/>
  <c r="J92" i="497" s="1"/>
  <c r="I92" i="497" s="1"/>
  <c r="G92" i="497"/>
  <c r="I150" i="497"/>
  <c r="G218" i="497"/>
  <c r="J215" i="497"/>
  <c r="J218" i="497" s="1"/>
  <c r="J281" i="497"/>
  <c r="J284" i="497" s="1"/>
  <c r="G284" i="497"/>
  <c r="J13" i="497"/>
  <c r="G13" i="497"/>
  <c r="G242" i="497"/>
  <c r="K242" i="497" s="1"/>
  <c r="K244" i="497" s="1"/>
  <c r="K246" i="497" s="1"/>
  <c r="C109" i="497"/>
  <c r="J97" i="497"/>
  <c r="J100" i="497" s="1"/>
  <c r="I100" i="497" s="1"/>
  <c r="G100" i="497"/>
  <c r="G162" i="497"/>
  <c r="J159" i="497"/>
  <c r="J162" i="497" s="1"/>
  <c r="I162" i="497" s="1"/>
  <c r="E241" i="497"/>
  <c r="G238" i="497"/>
  <c r="J235" i="497"/>
  <c r="J238" i="497" s="1"/>
  <c r="I238" i="497" s="1"/>
  <c r="G308" i="497"/>
  <c r="K308" i="497" s="1"/>
  <c r="K310" i="497" s="1"/>
  <c r="K312" i="497" s="1"/>
  <c r="G110" i="497"/>
  <c r="K110" i="497" s="1"/>
  <c r="K112" i="497" s="1"/>
  <c r="K114" i="497" s="1"/>
  <c r="G224" i="497"/>
  <c r="J221" i="497"/>
  <c r="J224" i="497" s="1"/>
  <c r="I224" i="497" s="1"/>
  <c r="J287" i="497"/>
  <c r="J290" i="497" s="1"/>
  <c r="I290" i="497" s="1"/>
  <c r="G290" i="497"/>
  <c r="J83" i="497"/>
  <c r="J86" i="497" s="1"/>
  <c r="G86" i="497"/>
  <c r="J33" i="497"/>
  <c r="I33" i="497" s="1"/>
  <c r="G33" i="497"/>
  <c r="C108" i="495"/>
  <c r="D49" i="348"/>
  <c r="H49" i="348" s="1"/>
  <c r="K49" i="348" s="1"/>
  <c r="K43" i="348" l="1"/>
  <c r="A7" i="356"/>
  <c r="H53" i="348"/>
  <c r="G109" i="497"/>
  <c r="J109" i="497" s="1"/>
  <c r="J112" i="497" s="1"/>
  <c r="I112" i="497" s="1"/>
  <c r="H21" i="348"/>
  <c r="K21" i="348" s="1"/>
  <c r="I86" i="497"/>
  <c r="I218" i="497"/>
  <c r="J165" i="497"/>
  <c r="I165" i="497" s="1"/>
  <c r="G307" i="497"/>
  <c r="J35" i="497"/>
  <c r="I13" i="497"/>
  <c r="I284" i="497"/>
  <c r="G241" i="497"/>
  <c r="A8" i="356" l="1"/>
  <c r="A9" i="356" s="1"/>
  <c r="F47" i="348"/>
  <c r="F48" i="348"/>
  <c r="K48" i="348" s="1"/>
  <c r="G112" i="497"/>
  <c r="E51" i="348"/>
  <c r="F51" i="348" s="1"/>
  <c r="K51" i="348" s="1"/>
  <c r="H6" i="347"/>
  <c r="J241" i="497"/>
  <c r="J244" i="497" s="1"/>
  <c r="G244" i="497"/>
  <c r="I35" i="497"/>
  <c r="J4" i="497"/>
  <c r="I4" i="497" s="1"/>
  <c r="G310" i="497"/>
  <c r="J307" i="497"/>
  <c r="J310" i="497" s="1"/>
  <c r="J114" i="497"/>
  <c r="I114" i="497" s="1"/>
  <c r="F53" i="348" l="1"/>
  <c r="K53" i="348" s="1"/>
  <c r="K47" i="348"/>
  <c r="I244" i="497"/>
  <c r="J246" i="497"/>
  <c r="I246" i="497" s="1"/>
  <c r="I310" i="497"/>
  <c r="J312" i="497"/>
  <c r="I312" i="497" s="1"/>
  <c r="F6" i="347" l="1"/>
  <c r="K6" i="347" s="1"/>
  <c r="H20" i="348" l="1"/>
  <c r="K20" i="348" l="1"/>
  <c r="H25" i="348"/>
  <c r="H5" i="347" l="1"/>
  <c r="E23" i="348"/>
  <c r="F23" i="348" s="1"/>
  <c r="K23" i="348" s="1"/>
  <c r="F19" i="348"/>
  <c r="K19" i="348" s="1"/>
  <c r="F18" i="348"/>
  <c r="F25" i="348" l="1"/>
  <c r="F5" i="347" s="1"/>
  <c r="K18" i="348"/>
  <c r="K5" i="347" l="1"/>
  <c r="K25" i="348"/>
  <c r="J11" i="347" l="1"/>
  <c r="D10" i="346" s="1"/>
  <c r="I39" i="508"/>
  <c r="I36" i="508"/>
  <c r="I32" i="508"/>
  <c r="I28" i="508"/>
  <c r="I40" i="508"/>
  <c r="J42" i="508" l="1"/>
  <c r="F11" i="347" l="1"/>
  <c r="D4" i="346" s="1"/>
  <c r="L42" i="319"/>
  <c r="J39" i="319"/>
  <c r="K6" i="723"/>
  <c r="L4" i="723"/>
  <c r="K20" i="398"/>
  <c r="L50" i="723"/>
  <c r="J52" i="319"/>
  <c r="K42" i="319"/>
  <c r="E21" i="616"/>
  <c r="J44" i="319"/>
  <c r="J21" i="723"/>
  <c r="J47" i="319"/>
  <c r="K44" i="398"/>
  <c r="L32" i="398"/>
  <c r="J5" i="723"/>
  <c r="K52" i="319"/>
  <c r="K35" i="319"/>
  <c r="L37" i="398"/>
  <c r="J50" i="723"/>
  <c r="K33" i="319"/>
  <c r="J4" i="319"/>
  <c r="L50" i="319"/>
  <c r="L13" i="723"/>
  <c r="K55" i="319"/>
  <c r="L58" i="319"/>
  <c r="L53" i="319"/>
  <c r="L49" i="398"/>
  <c r="L27" i="319"/>
  <c r="K29" i="723"/>
  <c r="J8" i="723"/>
  <c r="J28" i="398"/>
  <c r="L40" i="398"/>
  <c r="J58" i="319"/>
  <c r="K45" i="398"/>
  <c r="E5" i="616"/>
  <c r="K24" i="398"/>
  <c r="K21" i="723"/>
  <c r="K31" i="319"/>
  <c r="K22" i="723"/>
  <c r="J42" i="398"/>
  <c r="J23" i="398"/>
  <c r="K31" i="723"/>
  <c r="E6" i="616"/>
  <c r="K30" i="723"/>
  <c r="J26" i="723"/>
  <c r="L40" i="723"/>
  <c r="J47" i="398"/>
  <c r="L45" i="319"/>
  <c r="J25" i="398"/>
  <c r="L28" i="398"/>
  <c r="J40" i="398"/>
  <c r="J28" i="319"/>
  <c r="K58" i="319"/>
  <c r="K26" i="398"/>
  <c r="L10" i="398"/>
  <c r="E19" i="616"/>
  <c r="L34" i="398"/>
  <c r="L28" i="723"/>
  <c r="L30" i="398"/>
  <c r="J45" i="723"/>
  <c r="K33" i="723"/>
  <c r="K4" i="723"/>
  <c r="L52" i="723"/>
  <c r="J31" i="319"/>
  <c r="L33" i="398"/>
  <c r="K34" i="398"/>
  <c r="J33" i="398"/>
  <c r="E10" i="616"/>
  <c r="K7" i="398"/>
  <c r="L45" i="723"/>
  <c r="K41" i="319"/>
  <c r="E11" i="617"/>
  <c r="J39" i="723"/>
  <c r="J9" i="398"/>
  <c r="J7" i="723"/>
  <c r="K45" i="723"/>
  <c r="K41" i="398"/>
  <c r="J54" i="723"/>
  <c r="J50" i="319"/>
  <c r="J38" i="319"/>
  <c r="J20" i="398"/>
  <c r="J34" i="319"/>
  <c r="J49" i="723"/>
  <c r="J41" i="319"/>
  <c r="L6" i="398"/>
  <c r="K4" i="398"/>
  <c r="L5" i="723"/>
  <c r="K9" i="723"/>
  <c r="E16" i="616"/>
  <c r="L24" i="398"/>
  <c r="J55" i="723"/>
  <c r="L21" i="398"/>
  <c r="K26" i="723"/>
  <c r="K57" i="319"/>
  <c r="K39" i="319"/>
  <c r="J45" i="319"/>
  <c r="J41" i="723"/>
  <c r="K6" i="319"/>
  <c r="L35" i="398"/>
  <c r="L7" i="398"/>
  <c r="J31" i="398"/>
  <c r="K10" i="398"/>
  <c r="K49" i="398"/>
  <c r="L52" i="319"/>
  <c r="E15" i="616"/>
  <c r="K50" i="319"/>
  <c r="J18" i="398"/>
  <c r="L19" i="398"/>
  <c r="L27" i="398"/>
  <c r="J27" i="723"/>
  <c r="K10" i="723"/>
  <c r="L7" i="723"/>
  <c r="J9" i="723"/>
  <c r="L37" i="319"/>
  <c r="J33" i="319"/>
  <c r="E3" i="617"/>
  <c r="K28" i="319"/>
  <c r="K6" i="398"/>
  <c r="K31" i="398"/>
  <c r="L11" i="723"/>
  <c r="J33" i="723"/>
  <c r="J7" i="398"/>
  <c r="I10" i="508"/>
  <c r="L3" i="398"/>
  <c r="J55" i="319"/>
  <c r="K24" i="723"/>
  <c r="J31" i="723"/>
  <c r="L38" i="319"/>
  <c r="K27" i="319"/>
  <c r="L31" i="723"/>
  <c r="K27" i="723"/>
  <c r="K9" i="398"/>
  <c r="J13" i="723"/>
  <c r="L54" i="319"/>
  <c r="J57" i="319"/>
  <c r="J22" i="398"/>
  <c r="J24" i="398"/>
  <c r="K8" i="723"/>
  <c r="K55" i="723"/>
  <c r="J43" i="398"/>
  <c r="L27" i="723"/>
  <c r="L33" i="723"/>
  <c r="E10" i="617"/>
  <c r="J6" i="319"/>
  <c r="K11" i="723"/>
  <c r="J39" i="398"/>
  <c r="I14" i="508"/>
  <c r="L20" i="398"/>
  <c r="J37" i="723"/>
  <c r="L22" i="723"/>
  <c r="J10" i="723"/>
  <c r="K45" i="319"/>
  <c r="L53" i="723"/>
  <c r="L26" i="398"/>
  <c r="K42" i="398"/>
  <c r="L33" i="319"/>
  <c r="L21" i="723"/>
  <c r="J21" i="398"/>
  <c r="E20" i="616"/>
  <c r="J29" i="398"/>
  <c r="J47" i="723"/>
  <c r="L31" i="398"/>
  <c r="L14" i="723"/>
  <c r="K47" i="319"/>
  <c r="K5" i="723"/>
  <c r="L35" i="319"/>
  <c r="L36" i="398"/>
  <c r="E9" i="616"/>
  <c r="L55" i="319"/>
  <c r="K14" i="723"/>
  <c r="L23" i="398"/>
  <c r="L4" i="398"/>
  <c r="K41" i="723"/>
  <c r="J14" i="723"/>
  <c r="K42" i="723"/>
  <c r="L49" i="319"/>
  <c r="E9" i="617"/>
  <c r="L29" i="723"/>
  <c r="J4" i="723"/>
  <c r="J19" i="398"/>
  <c r="L25" i="398"/>
  <c r="L9" i="723"/>
  <c r="J42" i="723"/>
  <c r="J43" i="723"/>
  <c r="J38" i="398"/>
  <c r="J26" i="398"/>
  <c r="K23" i="398"/>
  <c r="K18" i="398"/>
  <c r="J29" i="723"/>
  <c r="K48" i="398"/>
  <c r="L22" i="398"/>
  <c r="L42" i="398"/>
  <c r="K35" i="398"/>
  <c r="E18" i="616"/>
  <c r="J54" i="319"/>
  <c r="J28" i="723"/>
  <c r="K34" i="319"/>
  <c r="K29" i="398"/>
  <c r="L54" i="723"/>
  <c r="L41" i="319"/>
  <c r="J35" i="319"/>
  <c r="L56" i="319"/>
  <c r="E24" i="616"/>
  <c r="K32" i="398"/>
  <c r="L34" i="723"/>
  <c r="J44" i="398"/>
  <c r="L24" i="723"/>
  <c r="K19" i="398"/>
  <c r="L28" i="319"/>
  <c r="K38" i="398"/>
  <c r="J40" i="723"/>
  <c r="J24" i="723"/>
  <c r="K36" i="398"/>
  <c r="L39" i="319"/>
  <c r="L36" i="723"/>
  <c r="J36" i="398"/>
  <c r="J52" i="723"/>
  <c r="J30" i="723"/>
  <c r="L30" i="723"/>
  <c r="J6" i="398"/>
  <c r="E5" i="617"/>
  <c r="J53" i="319"/>
  <c r="K37" i="319"/>
  <c r="J12" i="723"/>
  <c r="K28" i="723"/>
  <c r="L31" i="319"/>
  <c r="L43" i="398"/>
  <c r="K43" i="723"/>
  <c r="E3" i="616"/>
  <c r="L6" i="723"/>
  <c r="J22" i="723"/>
  <c r="K40" i="398"/>
  <c r="L42" i="723"/>
  <c r="J27" i="398"/>
  <c r="K49" i="723"/>
  <c r="L55" i="723"/>
  <c r="K39" i="723"/>
  <c r="J30" i="319"/>
  <c r="L37" i="723"/>
  <c r="K38" i="319"/>
  <c r="J53" i="723"/>
  <c r="J37" i="398"/>
  <c r="K56" i="319"/>
  <c r="K7" i="723"/>
  <c r="L23" i="723"/>
  <c r="K50" i="723"/>
  <c r="J56" i="319"/>
  <c r="J42" i="319"/>
  <c r="L41" i="398"/>
  <c r="K21" i="398"/>
  <c r="K34" i="723"/>
  <c r="E23" i="616"/>
  <c r="K52" i="723"/>
  <c r="J56" i="723"/>
  <c r="E7" i="616"/>
  <c r="J23" i="723"/>
  <c r="K37" i="398"/>
  <c r="L56" i="723"/>
  <c r="J25" i="723"/>
  <c r="J11" i="723"/>
  <c r="L48" i="398"/>
  <c r="K30" i="319"/>
  <c r="L12" i="723"/>
  <c r="K49" i="319"/>
  <c r="L26" i="723"/>
  <c r="K54" i="723"/>
  <c r="J34" i="398"/>
  <c r="K47" i="398"/>
  <c r="K22" i="398"/>
  <c r="J49" i="398"/>
  <c r="L10" i="723"/>
  <c r="J49" i="319"/>
  <c r="K44" i="319"/>
  <c r="L47" i="723"/>
  <c r="L4" i="319"/>
  <c r="K25" i="398"/>
  <c r="J32" i="398"/>
  <c r="J37" i="319"/>
  <c r="L57" i="319"/>
  <c r="J34" i="723"/>
  <c r="K56" i="723"/>
  <c r="L6" i="319"/>
  <c r="J30" i="398"/>
  <c r="L29" i="398"/>
  <c r="L39" i="723"/>
  <c r="K4" i="319"/>
  <c r="K28" i="398"/>
  <c r="K30" i="398"/>
  <c r="J6" i="723"/>
  <c r="L45" i="398"/>
  <c r="E22" i="616"/>
  <c r="L39" i="398"/>
  <c r="J41" i="398"/>
  <c r="J45" i="398"/>
  <c r="K54" i="319"/>
  <c r="J4" i="398"/>
  <c r="L44" i="398"/>
  <c r="K13" i="723"/>
  <c r="K40" i="723"/>
  <c r="K39" i="398"/>
  <c r="K33" i="398"/>
  <c r="E17" i="616"/>
  <c r="J10" i="398"/>
  <c r="J46" i="398"/>
  <c r="L44" i="319"/>
  <c r="J3" i="398"/>
  <c r="L47" i="319"/>
  <c r="K12" i="723"/>
  <c r="E8" i="616"/>
  <c r="J36" i="723"/>
  <c r="J48" i="398"/>
  <c r="K46" i="398"/>
  <c r="L34" i="319"/>
  <c r="K36" i="723"/>
  <c r="L41" i="723"/>
  <c r="L8" i="723"/>
  <c r="K53" i="319"/>
  <c r="K47" i="723"/>
  <c r="L25" i="723"/>
  <c r="L9" i="398"/>
  <c r="L30" i="319"/>
  <c r="K43" i="398"/>
  <c r="K27" i="398"/>
  <c r="E4" i="617"/>
  <c r="J35" i="398"/>
  <c r="E4" i="616"/>
  <c r="L38" i="398"/>
  <c r="J27" i="319"/>
  <c r="L49" i="723"/>
  <c r="K37" i="723"/>
  <c r="L47" i="398"/>
  <c r="K23" i="723"/>
  <c r="K53" i="723"/>
  <c r="L18" i="398"/>
  <c r="K3" i="398"/>
  <c r="K25" i="723"/>
  <c r="I6" i="508"/>
  <c r="L46" i="398"/>
  <c r="L43" i="723"/>
  <c r="D5" i="722" l="1"/>
  <c r="H4" i="617"/>
  <c r="H21" i="616"/>
  <c r="H16" i="616"/>
  <c r="H19" i="616"/>
  <c r="H17" i="616"/>
  <c r="D18" i="722"/>
  <c r="J18" i="722" s="1"/>
  <c r="H22" i="616"/>
  <c r="H20" i="616"/>
  <c r="H5" i="617"/>
  <c r="H5" i="616"/>
  <c r="H9" i="616"/>
  <c r="H3" i="616"/>
  <c r="H12" i="616" s="1"/>
  <c r="D6" i="722"/>
  <c r="D17" i="722"/>
  <c r="J17" i="722" s="1"/>
  <c r="H3" i="617"/>
  <c r="H6" i="617" s="1"/>
  <c r="D19" i="722"/>
  <c r="J19" i="722" s="1"/>
  <c r="D14" i="722"/>
  <c r="J14" i="722" s="1"/>
  <c r="D8" i="722"/>
  <c r="J8" i="722" s="1"/>
  <c r="D4" i="722"/>
  <c r="H23" i="616"/>
  <c r="H9" i="617"/>
  <c r="H12" i="617" s="1"/>
  <c r="H10" i="616"/>
  <c r="H18" i="616"/>
  <c r="H4" i="616"/>
  <c r="H24" i="616"/>
  <c r="H8" i="616"/>
  <c r="D11" i="722"/>
  <c r="J11" i="722" s="1"/>
  <c r="D16" i="722"/>
  <c r="J16" i="722" s="1"/>
  <c r="D7" i="722"/>
  <c r="J7" i="722" s="1"/>
  <c r="D13" i="722"/>
  <c r="J13" i="722" s="1"/>
  <c r="H15" i="616"/>
  <c r="H26" i="616" s="1"/>
  <c r="H10" i="617"/>
  <c r="H7" i="616"/>
  <c r="D9" i="722"/>
  <c r="D15" i="722"/>
  <c r="J15" i="722" s="1"/>
  <c r="D10" i="722"/>
  <c r="J10" i="722" s="1"/>
  <c r="H6" i="616"/>
  <c r="H11" i="617"/>
  <c r="D12" i="722"/>
  <c r="J12" i="722" s="1"/>
  <c r="J20" i="508"/>
  <c r="D6" i="346"/>
  <c r="I17" i="508"/>
  <c r="L7" i="722" l="1"/>
  <c r="N7" i="722"/>
  <c r="D25" i="722"/>
  <c r="J25" i="722" s="1"/>
  <c r="L25" i="722" s="1"/>
  <c r="J9" i="722"/>
  <c r="N16" i="722"/>
  <c r="P16" i="722"/>
  <c r="L16" i="722"/>
  <c r="V16" i="722"/>
  <c r="P19" i="722"/>
  <c r="L19" i="722"/>
  <c r="P15" i="722"/>
  <c r="V15" i="722"/>
  <c r="N15" i="722"/>
  <c r="L15" i="722"/>
  <c r="P14" i="722"/>
  <c r="V14" i="722"/>
  <c r="L14" i="722"/>
  <c r="N14" i="722"/>
  <c r="L11" i="722"/>
  <c r="N11" i="722"/>
  <c r="H15" i="617"/>
  <c r="N17" i="722"/>
  <c r="P17" i="722"/>
  <c r="L17" i="722"/>
  <c r="V17" i="722"/>
  <c r="N10" i="722"/>
  <c r="L10" i="722"/>
  <c r="L12" i="722"/>
  <c r="N12" i="722"/>
  <c r="J4" i="722"/>
  <c r="D23" i="722"/>
  <c r="J23" i="722" s="1"/>
  <c r="L23" i="722" s="1"/>
  <c r="D22" i="722"/>
  <c r="J22" i="722" s="1"/>
  <c r="L22" i="722" s="1"/>
  <c r="J6" i="722"/>
  <c r="P13" i="722"/>
  <c r="V13" i="722"/>
  <c r="N13" i="722"/>
  <c r="L13" i="722"/>
  <c r="N8" i="722"/>
  <c r="L8" i="722"/>
  <c r="P18" i="722"/>
  <c r="N18" i="722"/>
  <c r="V18" i="722"/>
  <c r="L18" i="722"/>
  <c r="J5" i="722"/>
  <c r="D24" i="722"/>
  <c r="J24" i="722" s="1"/>
  <c r="L24" i="722" s="1"/>
  <c r="H11" i="347"/>
  <c r="D7" i="346" s="1"/>
  <c r="J17" i="346" s="1"/>
  <c r="I18" i="508"/>
  <c r="P28" i="722" l="1"/>
  <c r="N4" i="722"/>
  <c r="L4" i="722"/>
  <c r="V4" i="722"/>
  <c r="R4" i="722"/>
  <c r="N6" i="722"/>
  <c r="L6" i="722"/>
  <c r="L9" i="722"/>
  <c r="N9" i="722"/>
  <c r="L5" i="722"/>
  <c r="V5" i="722"/>
  <c r="R5" i="722"/>
  <c r="N5" i="722"/>
  <c r="D16" i="346"/>
  <c r="J16" i="346"/>
  <c r="K11" i="347"/>
  <c r="R28" i="722" l="1"/>
  <c r="V28" i="722"/>
  <c r="N28" i="722"/>
  <c r="D8" i="346"/>
  <c r="D17" i="346"/>
  <c r="D13" i="346"/>
  <c r="D14" i="346" s="1"/>
  <c r="D15" i="346"/>
  <c r="D9" i="346" l="1"/>
  <c r="D20" i="346" l="1"/>
  <c r="D19" i="346"/>
  <c r="D12" i="346"/>
  <c r="D18" i="346"/>
  <c r="D11" i="346"/>
  <c r="D21" i="346" l="1"/>
  <c r="D22" i="346" l="1"/>
  <c r="D23" i="346" l="1"/>
  <c r="D24" i="346" s="1"/>
  <c r="H24" i="346" l="1"/>
  <c r="D25" i="346" l="1"/>
  <c r="D26" i="346" s="1"/>
  <c r="D27" i="346" s="1"/>
  <c r="D28" i="346" s="1"/>
  <c r="D31" i="346" l="1"/>
  <c r="K13" i="345" s="1"/>
  <c r="E2" i="346" l="1"/>
  <c r="F29" i="826"/>
  <c r="F31" i="826" s="1"/>
  <c r="E4" i="826" s="1"/>
  <c r="F4" i="826" s="1"/>
  <c r="K4" i="826" s="1"/>
  <c r="K6" i="826" s="1"/>
  <c r="K28" i="826" s="1"/>
  <c r="K29" i="826" s="1"/>
  <c r="K31" i="826" s="1"/>
  <c r="K11" i="345" l="1"/>
  <c r="B11" i="345" s="1"/>
</calcChain>
</file>

<file path=xl/sharedStrings.xml><?xml version="1.0" encoding="utf-8"?>
<sst xmlns="http://schemas.openxmlformats.org/spreadsheetml/2006/main" count="5060" uniqueCount="1871">
  <si>
    <t>H/ELBOW</t>
  </si>
  <si>
    <t>PE 36C</t>
    <phoneticPr fontId="49" type="noConversion"/>
  </si>
  <si>
    <t>1-789</t>
    <phoneticPr fontId="49" type="noConversion"/>
  </si>
  <si>
    <t>600x600x400</t>
    <phoneticPr fontId="49" type="noConversion"/>
  </si>
  <si>
    <t>15A 250V 3구</t>
    <phoneticPr fontId="49" type="noConversion"/>
  </si>
  <si>
    <t>PE 54C</t>
    <phoneticPr fontId="49" type="noConversion"/>
  </si>
  <si>
    <t>F-CVV-S 2/C 2.5㎟</t>
  </si>
  <si>
    <t>F-CV 1/C 6㎟</t>
    <phoneticPr fontId="49" type="noConversion"/>
  </si>
  <si>
    <t>F-CV 1/C 10㎟</t>
    <phoneticPr fontId="49" type="noConversion"/>
  </si>
  <si>
    <t>경유</t>
    <phoneticPr fontId="4" type="noConversion"/>
  </si>
  <si>
    <t>배수(제주도)</t>
    <phoneticPr fontId="4" type="noConversion"/>
  </si>
  <si>
    <t>=========================================================================================</t>
  </si>
  <si>
    <t>휘발유</t>
    <phoneticPr fontId="4" type="noConversion"/>
  </si>
  <si>
    <t>중기명 :</t>
  </si>
  <si>
    <t>굴삭기(유압식백호우)</t>
  </si>
  <si>
    <t>구    분</t>
  </si>
  <si>
    <t>수   량</t>
  </si>
  <si>
    <t>단  가</t>
  </si>
  <si>
    <t>금    액</t>
  </si>
  <si>
    <t>-----------------------------------------------------------------------------------------</t>
  </si>
  <si>
    <t>경    비</t>
  </si>
  <si>
    <t>천원</t>
  </si>
  <si>
    <t>건설기계운전기사</t>
    <phoneticPr fontId="4" type="noConversion"/>
  </si>
  <si>
    <t>:</t>
  </si>
  <si>
    <t>*</t>
  </si>
  <si>
    <t>=</t>
  </si>
  <si>
    <t>원</t>
  </si>
  <si>
    <t>소 계</t>
  </si>
  <si>
    <t>건설기계운전조수</t>
    <phoneticPr fontId="4" type="noConversion"/>
  </si>
  <si>
    <t>재 료 비</t>
  </si>
  <si>
    <t>경    유</t>
  </si>
  <si>
    <t>L</t>
  </si>
  <si>
    <t>운전사(운반차)</t>
  </si>
  <si>
    <t>잡    품</t>
  </si>
  <si>
    <t>%</t>
  </si>
  <si>
    <t>운전사(기계)</t>
  </si>
  <si>
    <t>건설기계조장</t>
    <phoneticPr fontId="4" type="noConversion"/>
  </si>
  <si>
    <t>노 무 비</t>
  </si>
  <si>
    <t>계</t>
  </si>
  <si>
    <t xml:space="preserve">   ※ 터파기 기계화 시공</t>
  </si>
  <si>
    <t xml:space="preserve">                 - 유압식 백호우 0.2㎡</t>
  </si>
  <si>
    <t>1. 기계장비 작업능력 산정</t>
  </si>
  <si>
    <t xml:space="preserve">    q = 0.2, f = 0.85</t>
    <phoneticPr fontId="4" type="noConversion"/>
  </si>
  <si>
    <t xml:space="preserve">    k = 0.9</t>
  </si>
  <si>
    <t xml:space="preserve">      </t>
  </si>
  <si>
    <t xml:space="preserve">    E = 0.55</t>
  </si>
  <si>
    <t xml:space="preserve">       </t>
  </si>
  <si>
    <t xml:space="preserve">    ㎝ = 15sec (선회각도 90。)</t>
    <phoneticPr fontId="4" type="noConversion"/>
  </si>
  <si>
    <t xml:space="preserve">    Q = 3,600 ×q ×k ×f ×E/㎝ = 20.20(㎥/Hr)</t>
    <phoneticPr fontId="4" type="noConversion"/>
  </si>
  <si>
    <t>1.재료비</t>
    <phoneticPr fontId="4" type="noConversion"/>
  </si>
  <si>
    <t>÷</t>
    <phoneticPr fontId="4" type="noConversion"/>
  </si>
  <si>
    <t>2.노무비</t>
    <phoneticPr fontId="4" type="noConversion"/>
  </si>
  <si>
    <t>3.기계경비</t>
    <phoneticPr fontId="4" type="noConversion"/>
  </si>
  <si>
    <t>========================================================================</t>
    <phoneticPr fontId="4" type="noConversion"/>
  </si>
  <si>
    <t xml:space="preserve">          </t>
  </si>
  <si>
    <t xml:space="preserve">   ※ 되메우기 기계화 시공</t>
  </si>
  <si>
    <t xml:space="preserve">    k = 0.9</t>
    <phoneticPr fontId="4" type="noConversion"/>
  </si>
  <si>
    <t xml:space="preserve">        </t>
  </si>
  <si>
    <t xml:space="preserve">    E = 0.65</t>
  </si>
  <si>
    <t xml:space="preserve">    Q = 3,600 ×q ×k ×f ×E/㎝ = 22.37 (㎥/Hr)</t>
    <phoneticPr fontId="4" type="noConversion"/>
  </si>
  <si>
    <t xml:space="preserve">   ※ 다    짐</t>
    <phoneticPr fontId="4" type="noConversion"/>
  </si>
  <si>
    <t xml:space="preserve">                 - 램머 80KG</t>
    <phoneticPr fontId="4" type="noConversion"/>
  </si>
  <si>
    <t xml:space="preserve">    q = 0.2, f = 0.8</t>
  </si>
  <si>
    <t>A = 0.28x0.33 = 0.0924㎡</t>
    <phoneticPr fontId="4" type="noConversion"/>
  </si>
  <si>
    <t>N = 36,000 회/hr</t>
    <phoneticPr fontId="4" type="noConversion"/>
  </si>
  <si>
    <t xml:space="preserve">    ㎝ = 16sec (선회각도 90。)</t>
  </si>
  <si>
    <t xml:space="preserve">H = 0.3 M </t>
    <phoneticPr fontId="4" type="noConversion"/>
  </si>
  <si>
    <t>F = 0.9/1.25 = 0.72</t>
    <phoneticPr fontId="4" type="noConversion"/>
  </si>
  <si>
    <t>E = 0.5</t>
    <phoneticPr fontId="4" type="noConversion"/>
  </si>
  <si>
    <t>P = 57회</t>
    <phoneticPr fontId="4" type="noConversion"/>
  </si>
  <si>
    <t xml:space="preserve">    Q = A ×N ×H ×F ×E/P = 6.3 (㎥/Hr)</t>
    <phoneticPr fontId="4" type="noConversion"/>
  </si>
  <si>
    <t xml:space="preserve">  = 0.0924x36,000x0.3x0.72x0.5/57 = 6.3㎥/hr</t>
    <phoneticPr fontId="4" type="noConversion"/>
  </si>
  <si>
    <t>3. 운전경비</t>
  </si>
  <si>
    <t xml:space="preserve">   가. 연료비</t>
  </si>
  <si>
    <t xml:space="preserve">     잡유(주연료의 10%) = 938 ×0.1 = 93(원/hr)</t>
    <phoneticPr fontId="4" type="noConversion"/>
  </si>
  <si>
    <t xml:space="preserve">   나. 운전원 인건비</t>
  </si>
  <si>
    <t xml:space="preserve">     </t>
  </si>
  <si>
    <t>F-CV 2/C 25㎟</t>
    <phoneticPr fontId="49" type="noConversion"/>
  </si>
  <si>
    <t>ELP 150Φ</t>
    <phoneticPr fontId="11" type="noConversion"/>
  </si>
  <si>
    <t>18Φx2400㎜</t>
  </si>
  <si>
    <t>1-855</t>
    <phoneticPr fontId="49" type="noConversion"/>
  </si>
  <si>
    <t>관로구방수장치</t>
  </si>
  <si>
    <t>Φ150</t>
  </si>
  <si>
    <t>F-CV 1/C 300㎟</t>
    <phoneticPr fontId="49" type="noConversion"/>
  </si>
  <si>
    <t>FR-8 3/C 2.5㎟</t>
    <phoneticPr fontId="49" type="noConversion"/>
  </si>
  <si>
    <t>1-802</t>
    <phoneticPr fontId="49" type="noConversion"/>
  </si>
  <si>
    <t>1-782</t>
    <phoneticPr fontId="49" type="noConversion"/>
  </si>
  <si>
    <t>전품5-23</t>
    <phoneticPr fontId="29" type="noConversion"/>
  </si>
  <si>
    <t>F-CVV-S 2/C 1.5㎟</t>
    <phoneticPr fontId="49" type="noConversion"/>
  </si>
  <si>
    <t>EA</t>
    <phoneticPr fontId="4" type="noConversion"/>
  </si>
  <si>
    <t>보통인부</t>
    <phoneticPr fontId="4" type="noConversion"/>
  </si>
  <si>
    <t>『 [  ]안은 배관이 제외된 부분 표시』</t>
    <phoneticPr fontId="4" type="noConversion"/>
  </si>
  <si>
    <t>회 로</t>
    <phoneticPr fontId="4" type="noConversion"/>
  </si>
  <si>
    <t>품  　명　　규  　격</t>
    <phoneticPr fontId="4" type="noConversion"/>
  </si>
  <si>
    <t>산    　　　출　    　　내　    　　용</t>
    <phoneticPr fontId="4" type="noConversion"/>
  </si>
  <si>
    <t>전선관</t>
    <phoneticPr fontId="4" type="noConversion"/>
  </si>
  <si>
    <t>전품5-10</t>
    <phoneticPr fontId="29" type="noConversion"/>
  </si>
  <si>
    <t>전품5-3</t>
    <phoneticPr fontId="29" type="noConversion"/>
  </si>
  <si>
    <t>식</t>
    <phoneticPr fontId="4" type="noConversion"/>
  </si>
  <si>
    <t>산 출 근 거</t>
    <phoneticPr fontId="4" type="noConversion"/>
  </si>
  <si>
    <t>내선전공</t>
    <phoneticPr fontId="4" type="noConversion"/>
  </si>
  <si>
    <t>저압케이블공</t>
    <phoneticPr fontId="4" type="noConversion"/>
  </si>
  <si>
    <t>전품5-1</t>
    <phoneticPr fontId="29" type="noConversion"/>
  </si>
  <si>
    <t>W200xH100x2.3t</t>
  </si>
  <si>
    <t>COVER</t>
  </si>
  <si>
    <t>W300xH100</t>
  </si>
  <si>
    <t>V/ELBOW</t>
  </si>
  <si>
    <t>W200xH100</t>
  </si>
  <si>
    <t>H/TEE</t>
  </si>
  <si>
    <t>높이조절형TRAY지지대</t>
    <phoneticPr fontId="4" type="noConversion"/>
  </si>
  <si>
    <t>35㎟</t>
  </si>
  <si>
    <t>BONDING JUMPER</t>
  </si>
  <si>
    <t>BONDING JUMPER35㎟</t>
  </si>
  <si>
    <t>노무비</t>
    <phoneticPr fontId="4" type="noConversion"/>
  </si>
  <si>
    <t>인</t>
    <phoneticPr fontId="4" type="noConversion"/>
  </si>
  <si>
    <t>SYSTEM BOX(A/F형)</t>
    <phoneticPr fontId="4" type="noConversion"/>
  </si>
  <si>
    <t>달대볼트</t>
    <phoneticPr fontId="4" type="noConversion"/>
  </si>
  <si>
    <t>1/2"100㎜</t>
  </si>
  <si>
    <t>EA</t>
    <phoneticPr fontId="11" type="noConversion"/>
  </si>
  <si>
    <t>계장공</t>
    <phoneticPr fontId="11" type="noConversion"/>
  </si>
  <si>
    <t>ELB</t>
    <phoneticPr fontId="49" type="noConversion"/>
  </si>
  <si>
    <t>15A 250V 2구</t>
    <phoneticPr fontId="49" type="noConversion"/>
  </si>
  <si>
    <t>전열2구</t>
  </si>
  <si>
    <t>전선관 부속품비</t>
    <phoneticPr fontId="11" type="noConversion"/>
  </si>
  <si>
    <t>배관의 15%</t>
    <phoneticPr fontId="11" type="noConversion"/>
  </si>
  <si>
    <t>잡재료비</t>
    <phoneticPr fontId="11" type="noConversion"/>
  </si>
  <si>
    <t>선,배관의 2%</t>
    <phoneticPr fontId="11" type="noConversion"/>
  </si>
  <si>
    <t>합   계</t>
    <phoneticPr fontId="4" type="noConversion"/>
  </si>
  <si>
    <t>22.9KV 동심중성수밀케이블</t>
    <phoneticPr fontId="11" type="noConversion"/>
  </si>
  <si>
    <t>1-753</t>
    <phoneticPr fontId="49" type="noConversion"/>
  </si>
  <si>
    <t>전품4-34</t>
    <phoneticPr fontId="11" type="noConversion"/>
  </si>
  <si>
    <t>Φ125</t>
    <phoneticPr fontId="49" type="noConversion"/>
  </si>
  <si>
    <t>F-CVV 2/C 2.5㎟</t>
  </si>
  <si>
    <t>F-CVV 4/C 2.5㎟</t>
  </si>
  <si>
    <t>FR-8 4/C 10㎟</t>
    <phoneticPr fontId="49" type="noConversion"/>
  </si>
  <si>
    <t>FR-8 2/C 4㎟</t>
    <phoneticPr fontId="49" type="noConversion"/>
  </si>
  <si>
    <t>FR-8 3/C 6㎟</t>
    <phoneticPr fontId="49" type="noConversion"/>
  </si>
  <si>
    <t>F-CVV 3/C 1.5㎟</t>
    <phoneticPr fontId="49" type="noConversion"/>
  </si>
  <si>
    <t>Φ80</t>
  </si>
  <si>
    <t>Φ40</t>
  </si>
  <si>
    <t>면</t>
    <phoneticPr fontId="4" type="noConversion"/>
  </si>
  <si>
    <t>일괄소등스위치</t>
    <phoneticPr fontId="49" type="noConversion"/>
  </si>
  <si>
    <t>전등용</t>
    <phoneticPr fontId="49" type="noConversion"/>
  </si>
  <si>
    <t>일반방수 42C</t>
    <phoneticPr fontId="49" type="noConversion"/>
  </si>
  <si>
    <t>일반방수 16C</t>
    <phoneticPr fontId="49" type="noConversion"/>
  </si>
  <si>
    <t>F-CVV 12/C 1.5㎟</t>
  </si>
  <si>
    <t>배전전공</t>
    <phoneticPr fontId="4" type="noConversion"/>
  </si>
  <si>
    <t>보통인부</t>
    <phoneticPr fontId="4" type="noConversion"/>
  </si>
  <si>
    <t>FR-8 4/C 25㎟</t>
  </si>
  <si>
    <t>일반방수 54C</t>
  </si>
  <si>
    <t>일반방수 28C</t>
  </si>
  <si>
    <t>일반방수 22C</t>
    <phoneticPr fontId="49" type="noConversion"/>
  </si>
  <si>
    <t>일반방수 36C</t>
    <phoneticPr fontId="49" type="noConversion"/>
  </si>
  <si>
    <t>18Φx2400㎜X6EA</t>
    <phoneticPr fontId="49" type="noConversion"/>
  </si>
  <si>
    <t>F-CV 1/C 240㎟</t>
    <phoneticPr fontId="49" type="noConversion"/>
  </si>
  <si>
    <t>F-GV 120㎟</t>
    <phoneticPr fontId="49" type="noConversion"/>
  </si>
  <si>
    <t>내선전공</t>
    <phoneticPr fontId="4" type="noConversion"/>
  </si>
  <si>
    <t>저압케이블공</t>
    <phoneticPr fontId="4" type="noConversion"/>
  </si>
  <si>
    <t>경질비닐전선관</t>
    <phoneticPr fontId="4" type="noConversion"/>
  </si>
  <si>
    <t>『 [  ]안은 배관이 제외된 부분 표시』</t>
    <phoneticPr fontId="4" type="noConversion"/>
  </si>
  <si>
    <t>회 로</t>
    <phoneticPr fontId="4" type="noConversion"/>
  </si>
  <si>
    <t>품  　명　　규  　격</t>
    <phoneticPr fontId="4" type="noConversion"/>
  </si>
  <si>
    <t>전선관</t>
    <phoneticPr fontId="4" type="noConversion"/>
  </si>
  <si>
    <t>4P 50AF 50AT</t>
    <phoneticPr fontId="49" type="noConversion"/>
  </si>
  <si>
    <t>4P 250AF 175AT</t>
    <phoneticPr fontId="49" type="noConversion"/>
  </si>
  <si>
    <t>4P 50AF 20AT</t>
    <phoneticPr fontId="49" type="noConversion"/>
  </si>
  <si>
    <t>2P 50AF 20AT</t>
    <phoneticPr fontId="49" type="noConversion"/>
  </si>
  <si>
    <t>합성수지가요전선관(난연)</t>
  </si>
  <si>
    <t>CD 28C</t>
  </si>
  <si>
    <t>CD 16C</t>
    <phoneticPr fontId="49" type="noConversion"/>
  </si>
  <si>
    <t>CD 22C</t>
    <phoneticPr fontId="49" type="noConversion"/>
  </si>
  <si>
    <t>합      계</t>
    <phoneticPr fontId="4" type="noConversion"/>
  </si>
  <si>
    <t>PE 70C</t>
    <phoneticPr fontId="49" type="noConversion"/>
  </si>
  <si>
    <t>F-CV 1/C 4㎟</t>
    <phoneticPr fontId="49" type="noConversion"/>
  </si>
  <si>
    <t xml:space="preserve">4. 기계경비 합계 </t>
    <phoneticPr fontId="4" type="noConversion"/>
  </si>
  <si>
    <t xml:space="preserve">   ※ 공원등 건주 기계화 시공</t>
    <phoneticPr fontId="4" type="noConversion"/>
  </si>
  <si>
    <t xml:space="preserve">  - 크레인 트럭 3TON, H = 5~7M이하</t>
    <phoneticPr fontId="4" type="noConversion"/>
  </si>
  <si>
    <t xml:space="preserve">     1. 기계장비 작업능력 산정</t>
    <phoneticPr fontId="4" type="noConversion"/>
  </si>
  <si>
    <t xml:space="preserve">    T  : 작업계수적용 산정후 1본당 작업소요시간(분/본)</t>
  </si>
  <si>
    <t xml:space="preserve">    Tc : 1본당 F=1.0 에서의 작업소요시간(5M이하: 36분)</t>
    <phoneticPr fontId="4" type="noConversion"/>
  </si>
  <si>
    <t xml:space="preserve">           </t>
  </si>
  <si>
    <t xml:space="preserve">    F  : 작업계수 (보통: 0.7)</t>
    <phoneticPr fontId="4" type="noConversion"/>
  </si>
  <si>
    <t xml:space="preserve">   ※ 가로등 건주 기계화 시공</t>
    <phoneticPr fontId="4" type="noConversion"/>
  </si>
  <si>
    <r>
      <t>M</t>
    </r>
    <r>
      <rPr>
        <vertAlign val="superscript"/>
        <sz val="10"/>
        <rFont val="굴림체"/>
        <family val="3"/>
        <charset val="129"/>
      </rPr>
      <t>3</t>
    </r>
    <phoneticPr fontId="4" type="noConversion"/>
  </si>
  <si>
    <t>물정2-140참조</t>
    <phoneticPr fontId="4" type="noConversion"/>
  </si>
  <si>
    <t>중기운전기사</t>
  </si>
  <si>
    <t>중기명 :</t>
    <phoneticPr fontId="4" type="noConversion"/>
  </si>
  <si>
    <t>탑재형크레인트럭</t>
    <phoneticPr fontId="4" type="noConversion"/>
  </si>
  <si>
    <t>ton</t>
    <phoneticPr fontId="4" type="noConversion"/>
  </si>
  <si>
    <t>운전사(운반차)</t>
    <phoneticPr fontId="4" type="noConversion"/>
  </si>
  <si>
    <t xml:space="preserve">캇타기  </t>
    <phoneticPr fontId="4" type="noConversion"/>
  </si>
  <si>
    <t>(320-400㎜)</t>
    <phoneticPr fontId="4" type="noConversion"/>
  </si>
  <si>
    <t>운전사(기계)</t>
    <phoneticPr fontId="4" type="noConversion"/>
  </si>
  <si>
    <t>대형부레이카+굴삭기</t>
    <phoneticPr fontId="4" type="noConversion"/>
  </si>
  <si>
    <t>대형부레이카</t>
    <phoneticPr fontId="4" type="noConversion"/>
  </si>
  <si>
    <t>굴삭기</t>
    <phoneticPr fontId="4" type="noConversion"/>
  </si>
  <si>
    <t>건설기계운전사</t>
    <phoneticPr fontId="4" type="noConversion"/>
  </si>
  <si>
    <t>플레이트콤팩터</t>
  </si>
  <si>
    <t>1.5톤</t>
  </si>
  <si>
    <t>진동로울러</t>
  </si>
  <si>
    <t>핸드가이드식 0.7톤</t>
  </si>
  <si>
    <t>로우더(타이어)</t>
  </si>
  <si>
    <t>0.57㎥</t>
  </si>
  <si>
    <t>살수차</t>
  </si>
  <si>
    <t>5500L</t>
  </si>
  <si>
    <t>트럭 트랙트 및 트레일러</t>
    <phoneticPr fontId="4" type="noConversion"/>
  </si>
  <si>
    <t>20ton</t>
    <phoneticPr fontId="4" type="noConversion"/>
  </si>
  <si>
    <t>산    출    근    거</t>
  </si>
  <si>
    <t>재료비</t>
  </si>
  <si>
    <t>경  비</t>
  </si>
  <si>
    <t/>
  </si>
  <si>
    <t xml:space="preserve">    Q = 1.75 ㎥/hr</t>
  </si>
  <si>
    <t xml:space="preserve"> 2. 보조인부</t>
  </si>
  <si>
    <t xml:space="preserve"> 3. 치즐소모비</t>
  </si>
  <si>
    <t xml:space="preserve">    치즐(0.2㎥) 78,100 × 0.008본 ÷ 1.75 = 357</t>
  </si>
  <si>
    <t xml:space="preserve"> 4. 들어내기 : 굴삭기(무한궤도)(0.2㎥)</t>
  </si>
  <si>
    <t xml:space="preserve">    q = 0.2      f = 1 / 1.5 = 0.67     K = 0.55</t>
  </si>
  <si>
    <t xml:space="preserve">    E = 0.45     Cm = 18sec (135˚)</t>
  </si>
  <si>
    <t xml:space="preserve">         3,600×q×K×f×E      3,600×0.2×0.55×0.67×0.45</t>
  </si>
  <si>
    <t xml:space="preserve">    Q = ────────── = ─────────────── = 6.63 ㎥/hr</t>
  </si>
  <si>
    <t xml:space="preserve">               Cm                            18</t>
  </si>
  <si>
    <t xml:space="preserve"> 5. 합   계</t>
  </si>
  <si>
    <t>PE 42C</t>
    <phoneticPr fontId="49" type="noConversion"/>
  </si>
  <si>
    <r>
      <t>단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가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산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출</t>
    </r>
    <phoneticPr fontId="4" type="noConversion"/>
  </si>
  <si>
    <t>1.아스팔트포장깨기(백호0.2㎥)[㎥]</t>
    <phoneticPr fontId="4" type="noConversion"/>
  </si>
  <si>
    <t xml:space="preserve"> 1. 굴삭기(0.2㎥)  : (품셈11-18)</t>
    <phoneticPr fontId="4" type="noConversion"/>
  </si>
  <si>
    <t>노무비 :</t>
    <phoneticPr fontId="4" type="noConversion"/>
  </si>
  <si>
    <t>÷</t>
    <phoneticPr fontId="4" type="noConversion"/>
  </si>
  <si>
    <t>=</t>
    <phoneticPr fontId="4" type="noConversion"/>
  </si>
  <si>
    <t>재료비 :</t>
    <phoneticPr fontId="4" type="noConversion"/>
  </si>
  <si>
    <t>경  비 :</t>
    <phoneticPr fontId="4" type="noConversion"/>
  </si>
  <si>
    <t>소  계</t>
    <phoneticPr fontId="4" type="noConversion"/>
  </si>
  <si>
    <t xml:space="preserve">    보통인부 : </t>
    <phoneticPr fontId="4" type="noConversion"/>
  </si>
  <si>
    <t xml:space="preserve">× 1인 ÷ (8hr × 1.75) = </t>
    <phoneticPr fontId="4" type="noConversion"/>
  </si>
  <si>
    <r>
      <t>2.아스콘</t>
    </r>
    <r>
      <rPr>
        <b/>
        <sz val="9"/>
        <color indexed="8"/>
        <rFont val="굴림체"/>
        <family val="3"/>
        <charset val="129"/>
      </rPr>
      <t xml:space="preserve"> </t>
    </r>
    <r>
      <rPr>
        <b/>
        <sz val="9"/>
        <color indexed="8"/>
        <rFont val="굴림체"/>
        <family val="3"/>
      </rPr>
      <t>중간층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4" type="noConversion"/>
  </si>
  <si>
    <r>
      <t xml:space="preserve">※ </t>
    </r>
    <r>
      <rPr>
        <sz val="9"/>
        <color indexed="8"/>
        <rFont val="굴림체"/>
        <family val="3"/>
        <charset val="129"/>
      </rPr>
      <t>1일 시공량 : 300㎡/일</t>
    </r>
    <phoneticPr fontId="4" type="noConversion"/>
  </si>
  <si>
    <r>
      <t>시간당 시공량</t>
    </r>
    <r>
      <rPr>
        <sz val="9"/>
        <color indexed="8"/>
        <rFont val="굴림체"/>
        <family val="3"/>
        <charset val="129"/>
      </rPr>
      <t>: Q = 300㎡ / 8hr = 37.5 ㎡/hr</t>
    </r>
    <phoneticPr fontId="4" type="noConversion"/>
  </si>
  <si>
    <r>
      <t>1</t>
    </r>
    <r>
      <rPr>
        <sz val="9"/>
        <color indexed="8"/>
        <rFont val="굴림체"/>
        <family val="3"/>
        <charset val="129"/>
      </rPr>
      <t>.배치인원</t>
    </r>
    <phoneticPr fontId="4" type="noConversion"/>
  </si>
  <si>
    <r>
      <t xml:space="preserve">포 </t>
    </r>
    <r>
      <rPr>
        <sz val="9"/>
        <color indexed="8"/>
        <rFont val="굴림체"/>
        <family val="3"/>
        <charset val="129"/>
      </rPr>
      <t xml:space="preserve">   </t>
    </r>
    <r>
      <rPr>
        <sz val="9"/>
        <color indexed="8"/>
        <rFont val="굴림체"/>
        <family val="3"/>
      </rPr>
      <t>장</t>
    </r>
    <r>
      <rPr>
        <sz val="9"/>
        <color indexed="8"/>
        <rFont val="굴림체"/>
        <family val="3"/>
        <charset val="129"/>
      </rPr>
      <t xml:space="preserve">    </t>
    </r>
    <r>
      <rPr>
        <sz val="9"/>
        <color indexed="8"/>
        <rFont val="굴림체"/>
        <family val="3"/>
      </rPr>
      <t>공</t>
    </r>
    <r>
      <rPr>
        <sz val="9"/>
        <color indexed="8"/>
        <rFont val="굴림체"/>
        <family val="3"/>
        <charset val="129"/>
      </rPr>
      <t xml:space="preserve"> :</t>
    </r>
    <phoneticPr fontId="4" type="noConversion"/>
  </si>
  <si>
    <r>
      <t>×</t>
    </r>
    <r>
      <rPr>
        <sz val="9"/>
        <color indexed="8"/>
        <rFont val="굴림체"/>
        <family val="3"/>
        <charset val="129"/>
      </rPr>
      <t xml:space="preserve"> </t>
    </r>
    <r>
      <rPr>
        <sz val="9"/>
        <color indexed="8"/>
        <rFont val="굴림체"/>
        <family val="3"/>
      </rPr>
      <t>1인</t>
    </r>
    <r>
      <rPr>
        <sz val="9"/>
        <color indexed="8"/>
        <rFont val="굴림체"/>
        <family val="3"/>
        <charset val="129"/>
      </rPr>
      <t xml:space="preserve"> ÷  300㎡</t>
    </r>
    <phoneticPr fontId="4" type="noConversion"/>
  </si>
  <si>
    <t>보통인부(포설) :</t>
    <phoneticPr fontId="4" type="noConversion"/>
  </si>
  <si>
    <t>보통인부(다짐) :</t>
    <phoneticPr fontId="4" type="noConversion"/>
  </si>
  <si>
    <t>노  임  소  계 :</t>
    <phoneticPr fontId="4" type="noConversion"/>
  </si>
  <si>
    <t>2.포 설 : 로우더(타이어) (0.57㎥)</t>
    <phoneticPr fontId="4" type="noConversion"/>
  </si>
  <si>
    <t>F-CVV-S 4/C 1.5㎟</t>
  </si>
  <si>
    <t>Φ30</t>
    <phoneticPr fontId="49" type="noConversion"/>
  </si>
  <si>
    <t>Φ50</t>
    <phoneticPr fontId="49" type="noConversion"/>
  </si>
  <si>
    <t>1-908</t>
    <phoneticPr fontId="49" type="noConversion"/>
  </si>
  <si>
    <t>접지콘센트(노출형)</t>
  </si>
  <si>
    <t>방화격벽</t>
    <phoneticPr fontId="11" type="noConversion"/>
  </si>
  <si>
    <t>W300</t>
    <phoneticPr fontId="11" type="noConversion"/>
  </si>
  <si>
    <t>EA</t>
    <phoneticPr fontId="11" type="noConversion"/>
  </si>
  <si>
    <t>/</t>
    <phoneticPr fontId="4" type="noConversion"/>
  </si>
  <si>
    <r>
      <t xml:space="preserve">노 </t>
    </r>
    <r>
      <rPr>
        <sz val="9"/>
        <color indexed="8"/>
        <rFont val="굴림체"/>
        <family val="3"/>
        <charset val="129"/>
      </rPr>
      <t xml:space="preserve">   무    비 :</t>
    </r>
    <phoneticPr fontId="4" type="noConversion"/>
  </si>
  <si>
    <r>
      <t xml:space="preserve">재 </t>
    </r>
    <r>
      <rPr>
        <sz val="9"/>
        <color indexed="8"/>
        <rFont val="굴림체"/>
        <family val="3"/>
        <charset val="129"/>
      </rPr>
      <t xml:space="preserve">   료    비 :</t>
    </r>
    <phoneticPr fontId="4" type="noConversion"/>
  </si>
  <si>
    <r>
      <t xml:space="preserve">경 </t>
    </r>
    <r>
      <rPr>
        <sz val="9"/>
        <color indexed="8"/>
        <rFont val="굴림체"/>
        <family val="3"/>
        <charset val="129"/>
      </rPr>
      <t xml:space="preserve">         비 :</t>
    </r>
    <phoneticPr fontId="4" type="noConversion"/>
  </si>
  <si>
    <r>
      <t xml:space="preserve">소 </t>
    </r>
    <r>
      <rPr>
        <sz val="9"/>
        <color indexed="8"/>
        <rFont val="굴림체"/>
        <family val="3"/>
        <charset val="129"/>
      </rPr>
      <t xml:space="preserve">         계 :</t>
    </r>
    <phoneticPr fontId="4" type="noConversion"/>
  </si>
  <si>
    <t>3.살 수 : 물탱크(5500ℓ)</t>
    <phoneticPr fontId="4" type="noConversion"/>
  </si>
  <si>
    <t xml:space="preserve">4.다    짐 </t>
    <phoneticPr fontId="4" type="noConversion"/>
  </si>
  <si>
    <t xml:space="preserve"> 가.플레이트 콤팩터 (1.5Ton)</t>
    <phoneticPr fontId="4" type="noConversion"/>
  </si>
  <si>
    <t xml:space="preserve"> 나.진동로울러(핸드가이드식) (0.7Ton)</t>
    <phoneticPr fontId="4" type="noConversion"/>
  </si>
  <si>
    <t xml:space="preserve"> 다.소       계</t>
    <phoneticPr fontId="4" type="noConversion"/>
  </si>
  <si>
    <t>+</t>
    <phoneticPr fontId="4" type="noConversion"/>
  </si>
  <si>
    <t xml:space="preserve">5.합    계 </t>
    <phoneticPr fontId="4" type="noConversion"/>
  </si>
  <si>
    <r>
      <t>3</t>
    </r>
    <r>
      <rPr>
        <b/>
        <sz val="9"/>
        <color indexed="8"/>
        <rFont val="굴림체"/>
        <family val="3"/>
      </rPr>
      <t>.보조기층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4" type="noConversion"/>
  </si>
  <si>
    <r>
      <t xml:space="preserve">※ </t>
    </r>
    <r>
      <rPr>
        <sz val="9"/>
        <color indexed="8"/>
        <rFont val="굴림체"/>
        <family val="3"/>
        <charset val="129"/>
      </rPr>
      <t>1일 시공량 : 150㎡/일</t>
    </r>
    <phoneticPr fontId="4" type="noConversion"/>
  </si>
  <si>
    <r>
      <t>시간당 시공량</t>
    </r>
    <r>
      <rPr>
        <sz val="9"/>
        <color indexed="8"/>
        <rFont val="굴림체"/>
        <family val="3"/>
        <charset val="129"/>
      </rPr>
      <t>: Q = 150㎡ / 8hr = 18.75 ㎡/hr</t>
    </r>
    <phoneticPr fontId="4" type="noConversion"/>
  </si>
  <si>
    <t>보  통  인  부 :</t>
    <phoneticPr fontId="4" type="noConversion"/>
  </si>
  <si>
    <r>
      <t>×</t>
    </r>
    <r>
      <rPr>
        <sz val="9"/>
        <color indexed="8"/>
        <rFont val="굴림체"/>
        <family val="3"/>
        <charset val="129"/>
      </rPr>
      <t xml:space="preserve"> </t>
    </r>
    <r>
      <rPr>
        <sz val="9"/>
        <color indexed="8"/>
        <rFont val="굴림체"/>
        <family val="3"/>
      </rPr>
      <t>1인</t>
    </r>
    <r>
      <rPr>
        <sz val="9"/>
        <color indexed="8"/>
        <rFont val="굴림체"/>
        <family val="3"/>
        <charset val="129"/>
      </rPr>
      <t xml:space="preserve"> ÷  150㎡</t>
    </r>
    <phoneticPr fontId="4" type="noConversion"/>
  </si>
  <si>
    <t>2.포 설 : 굴삭기(무한궤도) (0.6㎥)</t>
    <phoneticPr fontId="4" type="noConversion"/>
  </si>
  <si>
    <t xml:space="preserve">4.다  짐 : 진동식로울러(핸드가이드식) (0.7Ton) </t>
    <phoneticPr fontId="4" type="noConversion"/>
  </si>
  <si>
    <r>
      <t>4</t>
    </r>
    <r>
      <rPr>
        <b/>
        <sz val="9"/>
        <color indexed="8"/>
        <rFont val="굴림체"/>
        <family val="3"/>
      </rPr>
      <t>.아스콘</t>
    </r>
    <r>
      <rPr>
        <b/>
        <sz val="9"/>
        <color indexed="8"/>
        <rFont val="굴림체"/>
        <family val="3"/>
        <charset val="129"/>
      </rPr>
      <t xml:space="preserve"> 기</t>
    </r>
    <r>
      <rPr>
        <b/>
        <sz val="9"/>
        <color indexed="8"/>
        <rFont val="굴림체"/>
        <family val="3"/>
      </rPr>
      <t>층</t>
    </r>
    <r>
      <rPr>
        <b/>
        <sz val="9"/>
        <color indexed="8"/>
        <rFont val="굴림체"/>
        <family val="3"/>
        <charset val="129"/>
      </rPr>
      <t>(BB층)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4" type="noConversion"/>
  </si>
  <si>
    <r>
      <t>5</t>
    </r>
    <r>
      <rPr>
        <b/>
        <sz val="9"/>
        <color indexed="8"/>
        <rFont val="굴림체"/>
        <family val="3"/>
      </rPr>
      <t>.아스콘</t>
    </r>
    <r>
      <rPr>
        <b/>
        <sz val="9"/>
        <color indexed="8"/>
        <rFont val="굴림체"/>
        <family val="3"/>
        <charset val="129"/>
      </rPr>
      <t xml:space="preserve"> 표</t>
    </r>
    <r>
      <rPr>
        <b/>
        <sz val="9"/>
        <color indexed="8"/>
        <rFont val="굴림체"/>
        <family val="3"/>
      </rPr>
      <t>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4" type="noConversion"/>
  </si>
  <si>
    <t>면</t>
  </si>
  <si>
    <t>F-CV 1/C 185㎟</t>
    <phoneticPr fontId="49" type="noConversion"/>
  </si>
  <si>
    <t>소    계</t>
    <phoneticPr fontId="4" type="noConversion"/>
  </si>
  <si>
    <t>철판형</t>
  </si>
  <si>
    <t>대기전력차단콘센트</t>
  </si>
  <si>
    <t>4P 250AF 150AT</t>
    <phoneticPr fontId="49" type="noConversion"/>
  </si>
  <si>
    <t>일 위 대 가  산 출 근 거 서</t>
    <phoneticPr fontId="4" type="noConversion"/>
  </si>
  <si>
    <t>4P 50AF 40AT</t>
    <phoneticPr fontId="49" type="noConversion"/>
  </si>
  <si>
    <t>No.</t>
    <phoneticPr fontId="3" type="noConversion"/>
  </si>
  <si>
    <t>품      명</t>
    <phoneticPr fontId="11" type="noConversion"/>
  </si>
  <si>
    <t>규     격</t>
    <phoneticPr fontId="11" type="noConversion"/>
  </si>
  <si>
    <t>단위</t>
    <phoneticPr fontId="11" type="noConversion"/>
  </si>
  <si>
    <t>수량</t>
    <phoneticPr fontId="11" type="noConversion"/>
  </si>
  <si>
    <t>내선전공</t>
    <phoneticPr fontId="11" type="noConversion"/>
  </si>
  <si>
    <t>변전전공</t>
    <phoneticPr fontId="11" type="noConversion"/>
  </si>
  <si>
    <t>보통인부</t>
    <phoneticPr fontId="11" type="noConversion"/>
  </si>
  <si>
    <t>배전전공</t>
    <phoneticPr fontId="11" type="noConversion"/>
  </si>
  <si>
    <t>비계공</t>
    <phoneticPr fontId="11" type="noConversion"/>
  </si>
  <si>
    <t>비고</t>
    <phoneticPr fontId="11" type="noConversion"/>
  </si>
  <si>
    <t>단위공량</t>
    <phoneticPr fontId="11" type="noConversion"/>
  </si>
  <si>
    <t>설치공량</t>
    <phoneticPr fontId="11" type="noConversion"/>
  </si>
  <si>
    <t>공량계</t>
    <phoneticPr fontId="11" type="noConversion"/>
  </si>
  <si>
    <t>공  량  계</t>
    <phoneticPr fontId="11" type="noConversion"/>
  </si>
  <si>
    <t>MCCB (분전반형)</t>
  </si>
  <si>
    <t>4P 250AF 125AT</t>
  </si>
  <si>
    <t>1-832</t>
    <phoneticPr fontId="49" type="noConversion"/>
  </si>
  <si>
    <t>4P 50AF 20AT</t>
    <phoneticPr fontId="49" type="noConversion"/>
  </si>
  <si>
    <t>콘덴서</t>
  </si>
  <si>
    <t>1-635</t>
    <phoneticPr fontId="49" type="noConversion"/>
  </si>
  <si>
    <t>HI 16C</t>
    <phoneticPr fontId="4" type="noConversion"/>
  </si>
  <si>
    <t>LP-2</t>
    <phoneticPr fontId="4" type="noConversion"/>
  </si>
  <si>
    <t>HI 22C</t>
    <phoneticPr fontId="4" type="noConversion"/>
  </si>
  <si>
    <t>NAME PLATE</t>
  </si>
  <si>
    <t>물 가 자 료</t>
    <phoneticPr fontId="11" type="noConversion"/>
  </si>
  <si>
    <t>할증
율(%)</t>
  </si>
  <si>
    <t>자재
총계</t>
  </si>
  <si>
    <t>비고</t>
  </si>
  <si>
    <t>단위   공량</t>
  </si>
  <si>
    <t>공량계</t>
  </si>
  <si>
    <t xml:space="preserve">  소  계</t>
  </si>
  <si>
    <t>분전함</t>
  </si>
  <si>
    <t>전　선</t>
  </si>
  <si>
    <t>품       명</t>
  </si>
  <si>
    <t>규       격</t>
  </si>
  <si>
    <t>단위</t>
  </si>
  <si>
    <t>자재
소계</t>
  </si>
  <si>
    <t>변전전공</t>
    <phoneticPr fontId="4" type="noConversion"/>
  </si>
  <si>
    <t>물 가 정 보</t>
    <phoneticPr fontId="11" type="noConversion"/>
  </si>
  <si>
    <t>품     명</t>
    <phoneticPr fontId="11" type="noConversion"/>
  </si>
  <si>
    <t>적  용</t>
    <phoneticPr fontId="11" type="noConversion"/>
  </si>
  <si>
    <t>가 격 정 보</t>
    <phoneticPr fontId="11" type="noConversion"/>
  </si>
  <si>
    <t>견  적 1</t>
    <phoneticPr fontId="4" type="noConversion"/>
  </si>
  <si>
    <t>비   고</t>
    <phoneticPr fontId="11" type="noConversion"/>
  </si>
  <si>
    <t>배전전공</t>
    <phoneticPr fontId="4" type="noConversion"/>
  </si>
  <si>
    <t>특고케이블공</t>
    <phoneticPr fontId="4" type="noConversion"/>
  </si>
  <si>
    <t>고압케이블공</t>
    <phoneticPr fontId="4" type="noConversion"/>
  </si>
  <si>
    <t>보통인부(전기)</t>
    <phoneticPr fontId="4" type="noConversion"/>
  </si>
  <si>
    <t>특별인부</t>
    <phoneticPr fontId="4" type="noConversion"/>
  </si>
  <si>
    <t>페이지</t>
    <phoneticPr fontId="11" type="noConversion"/>
  </si>
  <si>
    <t>금   액</t>
    <phoneticPr fontId="11" type="noConversion"/>
  </si>
  <si>
    <t>단위공량</t>
    <phoneticPr fontId="4" type="noConversion"/>
  </si>
  <si>
    <t>내선전공</t>
    <phoneticPr fontId="4" type="noConversion"/>
  </si>
  <si>
    <t>저압케이블공</t>
    <phoneticPr fontId="4" type="noConversion"/>
  </si>
  <si>
    <t>견  적 2</t>
  </si>
  <si>
    <t>수량</t>
  </si>
  <si>
    <t>S/W시험사</t>
  </si>
  <si>
    <t>ELB</t>
  </si>
  <si>
    <t>전품5-1</t>
    <phoneticPr fontId="4" type="noConversion"/>
  </si>
  <si>
    <t>전품5-11</t>
    <phoneticPr fontId="11" type="noConversion"/>
  </si>
  <si>
    <t>구           분</t>
  </si>
  <si>
    <t>재</t>
  </si>
  <si>
    <t>료</t>
  </si>
  <si>
    <t>비</t>
  </si>
  <si>
    <t>소    계 (A)</t>
  </si>
  <si>
    <t>노</t>
  </si>
  <si>
    <t>직 접 노 무 비</t>
  </si>
  <si>
    <t>무</t>
  </si>
  <si>
    <t>소    계 (B)</t>
  </si>
  <si>
    <t>경</t>
  </si>
  <si>
    <t>소    계 (C)</t>
  </si>
  <si>
    <t>합    계</t>
  </si>
  <si>
    <t>일 반 관 리 비 (D)</t>
  </si>
  <si>
    <t>이          윤 (E)</t>
  </si>
  <si>
    <t>설  계  내  역  서</t>
    <phoneticPr fontId="4" type="noConversion"/>
  </si>
  <si>
    <t>설 계 서 용 지 (갑 지)</t>
    <phoneticPr fontId="4" type="noConversion"/>
  </si>
  <si>
    <t xml:space="preserve">개 요 :  </t>
    <phoneticPr fontId="4" type="noConversion"/>
  </si>
  <si>
    <t xml:space="preserve">  도    급    액                </t>
    <phoneticPr fontId="4" type="noConversion"/>
  </si>
  <si>
    <t>:</t>
    <phoneticPr fontId="4" type="noConversion"/>
  </si>
  <si>
    <t>내 역</t>
    <phoneticPr fontId="4" type="noConversion"/>
  </si>
  <si>
    <t xml:space="preserve"> </t>
    <phoneticPr fontId="4" type="noConversion"/>
  </si>
  <si>
    <t>공 사 원 가 계 산 서</t>
    <phoneticPr fontId="4" type="noConversion"/>
  </si>
  <si>
    <t>비 고</t>
    <phoneticPr fontId="4" type="noConversion"/>
  </si>
  <si>
    <t>품       명</t>
    <phoneticPr fontId="4" type="noConversion"/>
  </si>
  <si>
    <t>규         격</t>
    <phoneticPr fontId="4" type="noConversion"/>
  </si>
  <si>
    <t>단위</t>
    <phoneticPr fontId="4" type="noConversion"/>
  </si>
  <si>
    <t>수  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</si>
  <si>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</si>
  <si>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</si>
  <si>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</si>
  <si>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총 계</t>
    <phoneticPr fontId="4" type="noConversion"/>
  </si>
  <si>
    <t>단가</t>
    <phoneticPr fontId="4" type="noConversion"/>
  </si>
  <si>
    <t>금액</t>
    <phoneticPr fontId="4" type="noConversion"/>
  </si>
  <si>
    <t>식</t>
    <phoneticPr fontId="4" type="noConversion"/>
  </si>
  <si>
    <t>일  위  대  가  표</t>
    <phoneticPr fontId="4" type="noConversion"/>
  </si>
  <si>
    <t>자  료  산  출  근  거  서</t>
    <phoneticPr fontId="4" type="noConversion"/>
  </si>
  <si>
    <t>단  가  대  비  표</t>
    <phoneticPr fontId="4" type="noConversion"/>
  </si>
  <si>
    <t>일  위  대  가  산  출  근  거  서</t>
    <phoneticPr fontId="4" type="noConversion"/>
  </si>
  <si>
    <t>DOOR HANDLE</t>
  </si>
  <si>
    <t>F-GV 16㎟</t>
    <phoneticPr fontId="4" type="noConversion"/>
  </si>
  <si>
    <t>파상형경질PE전선관</t>
  </si>
  <si>
    <t>ELP 80Φ</t>
  </si>
  <si>
    <t>경질비닐전선관</t>
  </si>
  <si>
    <t>HI 70C</t>
  </si>
  <si>
    <t>접지용전선</t>
  </si>
  <si>
    <t>F-GV 10㎟</t>
  </si>
  <si>
    <t>F-GV 16㎟</t>
  </si>
  <si>
    <t>F-GV 35㎟</t>
  </si>
  <si>
    <t>F-GV 50㎟</t>
  </si>
  <si>
    <t>0.6/1KV난연케이블</t>
  </si>
  <si>
    <t>F-CVV 6/C 2.5㎟</t>
    <phoneticPr fontId="49" type="noConversion"/>
  </si>
  <si>
    <t>AV케이블</t>
  </si>
  <si>
    <t>HDMI CABLE</t>
  </si>
  <si>
    <t>노출스위치박스</t>
  </si>
  <si>
    <t>W150xH100</t>
  </si>
  <si>
    <t>F-CV 1/C 25㎟</t>
    <phoneticPr fontId="49" type="noConversion"/>
  </si>
  <si>
    <t>W150</t>
    <phoneticPr fontId="11" type="noConversion"/>
  </si>
  <si>
    <t>1-794</t>
    <phoneticPr fontId="49" type="noConversion"/>
  </si>
  <si>
    <t>F-CV 1/C 70㎟</t>
  </si>
  <si>
    <t>F-CV 4/C 10㎟</t>
  </si>
  <si>
    <t>F-CV 4/C 25㎟</t>
  </si>
  <si>
    <t>JOINT CONNECTORS</t>
  </si>
  <si>
    <t>케이블표시시트</t>
  </si>
  <si>
    <t>200x250</t>
  </si>
  <si>
    <t>HI 16C</t>
  </si>
  <si>
    <t>m</t>
  </si>
  <si>
    <t>HI 22C</t>
  </si>
  <si>
    <t>HI 28C</t>
  </si>
  <si>
    <t>HI 36C</t>
  </si>
  <si>
    <t>HI 42C</t>
  </si>
  <si>
    <t>HI 54C</t>
  </si>
  <si>
    <t>HI 82C</t>
  </si>
  <si>
    <t>HI 104C</t>
  </si>
  <si>
    <t>ELP 30Φ</t>
  </si>
  <si>
    <t>ELP 40Φ</t>
  </si>
  <si>
    <t>ELP 50Φ</t>
  </si>
  <si>
    <t>ELP 65Φ</t>
  </si>
  <si>
    <t>EA</t>
  </si>
  <si>
    <t>F-CV 1/C 35㎟</t>
  </si>
  <si>
    <t>F-CV 1/C 50㎟</t>
  </si>
  <si>
    <t>F-CV 2/C 2.5㎟</t>
  </si>
  <si>
    <t>F-CV 2/C 4㎟</t>
  </si>
  <si>
    <t>F-CV 2/C 6㎟</t>
  </si>
  <si>
    <t>F-CV 2/C 10㎟</t>
  </si>
  <si>
    <t>F-CV 2/C 16㎟</t>
  </si>
  <si>
    <t>F-CV 3/C 2.5㎟</t>
  </si>
  <si>
    <t>F-CV 3/C 4㎟</t>
  </si>
  <si>
    <t>F-CV 3/C 6㎟</t>
  </si>
  <si>
    <t>F-CV 3/C 16㎟</t>
  </si>
  <si>
    <t>F-CV 4/C 2.5㎟</t>
  </si>
  <si>
    <t>F-CV 4/C 4㎟</t>
  </si>
  <si>
    <t>F-CV 4/C 6㎟</t>
  </si>
  <si>
    <t>F-CV 4/C 16㎟</t>
  </si>
  <si>
    <t>내열절연전선</t>
  </si>
  <si>
    <t>HFIX 4㎟</t>
  </si>
  <si>
    <t>F-GV 2.5㎟</t>
  </si>
  <si>
    <t>F-GV 4㎟</t>
  </si>
  <si>
    <t>F-GV 6㎟</t>
  </si>
  <si>
    <t>F-GV 25㎟</t>
  </si>
  <si>
    <t>F-GV 70㎟</t>
  </si>
  <si>
    <t>이면전선</t>
  </si>
  <si>
    <t>접지동봉</t>
  </si>
  <si>
    <t>SET</t>
  </si>
  <si>
    <t>16Φx1800㎜</t>
  </si>
  <si>
    <t>16Φx1800㎜X3EA</t>
  </si>
  <si>
    <t>4P 100AF 75AT</t>
  </si>
  <si>
    <t>4P 50AF 50AT</t>
  </si>
  <si>
    <t>4P 50AF 30AT</t>
  </si>
  <si>
    <t>2P 50AF 30AT</t>
  </si>
  <si>
    <t>2P 30AF 20AT</t>
  </si>
  <si>
    <t>SELECTOR S/W</t>
  </si>
  <si>
    <t>PVC BOX(철카바)</t>
  </si>
  <si>
    <t>16C</t>
  </si>
  <si>
    <t>22C</t>
  </si>
  <si>
    <t>28C</t>
  </si>
  <si>
    <t>36C</t>
  </si>
  <si>
    <t>42C</t>
  </si>
  <si>
    <t>54C</t>
  </si>
  <si>
    <t>70C</t>
  </si>
  <si>
    <t>82C</t>
  </si>
  <si>
    <t>104C</t>
  </si>
  <si>
    <t>PULL BOX</t>
  </si>
  <si>
    <t>100x100x100</t>
  </si>
  <si>
    <t>150x150x100</t>
  </si>
  <si>
    <t>150x150x150</t>
  </si>
  <si>
    <t>200x200x100</t>
  </si>
  <si>
    <t>200x200x150</t>
  </si>
  <si>
    <t>200x200x200</t>
  </si>
  <si>
    <t>250x250x200</t>
  </si>
  <si>
    <t>300x300x200</t>
  </si>
  <si>
    <t>노무비</t>
  </si>
  <si>
    <t>인</t>
  </si>
  <si>
    <t>EA</t>
    <phoneticPr fontId="11" type="noConversion"/>
  </si>
  <si>
    <t>비  고</t>
  </si>
  <si>
    <t>합  계</t>
  </si>
  <si>
    <t xml:space="preserve"> </t>
  </si>
  <si>
    <t>내선전공</t>
  </si>
  <si>
    <t>품      명</t>
    <phoneticPr fontId="4" type="noConversion"/>
  </si>
  <si>
    <t>규      격</t>
    <phoneticPr fontId="4" type="noConversion"/>
  </si>
  <si>
    <t>재 료 비</t>
    <phoneticPr fontId="4" type="noConversion"/>
  </si>
  <si>
    <t>노 무 비</t>
    <phoneticPr fontId="4" type="noConversion"/>
  </si>
  <si>
    <t>경   비</t>
    <phoneticPr fontId="4" type="noConversion"/>
  </si>
  <si>
    <t>총    액</t>
    <phoneticPr fontId="11" type="noConversion"/>
  </si>
  <si>
    <t>단  가</t>
    <phoneticPr fontId="3" type="noConversion"/>
  </si>
  <si>
    <t>금  액</t>
    <phoneticPr fontId="3" type="noConversion"/>
  </si>
  <si>
    <t>품       명</t>
    <phoneticPr fontId="4" type="noConversion"/>
  </si>
  <si>
    <t>규       격</t>
    <phoneticPr fontId="4" type="noConversion"/>
  </si>
  <si>
    <t>단위</t>
    <phoneticPr fontId="4" type="noConversion"/>
  </si>
  <si>
    <t>수  량</t>
    <phoneticPr fontId="4" type="noConversion"/>
  </si>
  <si>
    <t>경 비</t>
    <phoneticPr fontId="4" type="noConversion"/>
  </si>
  <si>
    <t>계</t>
    <phoneticPr fontId="4" type="noConversion"/>
  </si>
  <si>
    <t>비 고</t>
    <phoneticPr fontId="4" type="noConversion"/>
  </si>
  <si>
    <t>단가</t>
    <phoneticPr fontId="4" type="noConversion"/>
  </si>
  <si>
    <t>금액</t>
    <phoneticPr fontId="4" type="noConversion"/>
  </si>
  <si>
    <t>합   계</t>
    <phoneticPr fontId="4" type="noConversion"/>
  </si>
  <si>
    <t xml:space="preserve"> ■  폐기물처리비</t>
    <phoneticPr fontId="4" type="noConversion"/>
  </si>
  <si>
    <t>전품4-34</t>
    <phoneticPr fontId="11" type="noConversion"/>
  </si>
  <si>
    <t>전품5-13</t>
    <phoneticPr fontId="11" type="noConversion"/>
  </si>
  <si>
    <t>전품5-10</t>
    <phoneticPr fontId="11" type="noConversion"/>
  </si>
  <si>
    <t>전품3-38</t>
    <phoneticPr fontId="11" type="noConversion"/>
  </si>
  <si>
    <t>전품5-4</t>
    <phoneticPr fontId="11" type="noConversion"/>
  </si>
  <si>
    <t>전품5-3</t>
    <phoneticPr fontId="11" type="noConversion"/>
  </si>
  <si>
    <t>전품5-18</t>
    <phoneticPr fontId="11" type="noConversion"/>
  </si>
  <si>
    <t>전품4-45</t>
    <phoneticPr fontId="11" type="noConversion"/>
  </si>
  <si>
    <t>15A 250V 1구</t>
  </si>
  <si>
    <t>15A 250V 2구</t>
  </si>
  <si>
    <t>15A 250V 3구</t>
  </si>
  <si>
    <t>접지콘센트</t>
  </si>
  <si>
    <t>MCCB (표준형)</t>
  </si>
  <si>
    <t>F-CV 4/C 35㎟</t>
    <phoneticPr fontId="4" type="noConversion"/>
  </si>
  <si>
    <t>HI 54C</t>
    <phoneticPr fontId="4" type="noConversion"/>
  </si>
  <si>
    <t>9Φx1000mm</t>
  </si>
  <si>
    <t>지중매설표시기</t>
  </si>
  <si>
    <t>RACE WAY</t>
  </si>
  <si>
    <t>W70xH40x1.6t</t>
  </si>
  <si>
    <t>RACE WAY COVER</t>
  </si>
  <si>
    <t>JOINER SET</t>
  </si>
  <si>
    <t>"A"형행가</t>
  </si>
  <si>
    <t>END CAP</t>
  </si>
  <si>
    <t>W70xH40,3방향</t>
  </si>
  <si>
    <t>접지콘센트(방우형)</t>
  </si>
  <si>
    <t>HI 36C</t>
    <phoneticPr fontId="4" type="noConversion"/>
  </si>
  <si>
    <t>전품4-31</t>
    <phoneticPr fontId="11" type="noConversion"/>
  </si>
  <si>
    <t>F-CV 3/C 10㎟</t>
    <phoneticPr fontId="11" type="noConversion"/>
  </si>
  <si>
    <t>4P 50AF 40AT</t>
  </si>
  <si>
    <t>3P 100AF 75AT</t>
  </si>
  <si>
    <t>타이머</t>
    <phoneticPr fontId="11" type="noConversion"/>
  </si>
  <si>
    <t>24H</t>
    <phoneticPr fontId="11" type="noConversion"/>
  </si>
  <si>
    <t>파이프행가</t>
    <phoneticPr fontId="11" type="noConversion"/>
  </si>
  <si>
    <t>ELP 100Φ</t>
    <phoneticPr fontId="11" type="noConversion"/>
  </si>
  <si>
    <t>전품4-31</t>
    <phoneticPr fontId="11" type="noConversion"/>
  </si>
  <si>
    <t>KIV 6㎟</t>
    <phoneticPr fontId="49" type="noConversion"/>
  </si>
  <si>
    <t>15A 250V 5구</t>
    <phoneticPr fontId="49" type="noConversion"/>
  </si>
  <si>
    <t>AL DUCT</t>
  </si>
  <si>
    <t>0.6/1KV내열케이블</t>
  </si>
  <si>
    <t>FR-3 2/C 1.5㎟</t>
  </si>
  <si>
    <t>FR-3 4/C 1.5㎟</t>
  </si>
  <si>
    <t>비중(kg/m3)</t>
    <phoneticPr fontId="4" type="noConversion"/>
  </si>
  <si>
    <t>비고</t>
    <phoneticPr fontId="4" type="noConversion"/>
  </si>
  <si>
    <t>합    계 (KG)</t>
    <phoneticPr fontId="4" type="noConversion"/>
  </si>
  <si>
    <t>품    명</t>
    <phoneticPr fontId="4" type="noConversion"/>
  </si>
  <si>
    <t>산 식 (면 적)</t>
    <phoneticPr fontId="4" type="noConversion"/>
  </si>
  <si>
    <t>수 량</t>
    <phoneticPr fontId="4" type="noConversion"/>
  </si>
  <si>
    <t>총면적(m2)</t>
    <phoneticPr fontId="4" type="noConversion"/>
  </si>
  <si>
    <t>두께(m)</t>
    <phoneticPr fontId="4" type="noConversion"/>
  </si>
  <si>
    <t>중량(kg)</t>
    <phoneticPr fontId="4" type="noConversion"/>
  </si>
  <si>
    <t>소    계 (KG)</t>
    <phoneticPr fontId="4" type="noConversion"/>
  </si>
  <si>
    <t>기존분전반철거(DOOR STS)</t>
  </si>
  <si>
    <t>600x650x150</t>
  </si>
  <si>
    <t>600x850x150</t>
  </si>
  <si>
    <t>700x800x150</t>
  </si>
  <si>
    <t>700x1400x200</t>
  </si>
  <si>
    <t>600x700x200</t>
  </si>
  <si>
    <t>600x800x150</t>
  </si>
  <si>
    <t>1. 서관동 분전반철거</t>
    <phoneticPr fontId="4" type="noConversion"/>
  </si>
  <si>
    <t>2. 강당동 분전반철거</t>
    <phoneticPr fontId="4" type="noConversion"/>
  </si>
  <si>
    <t>0.6x0.65</t>
    <phoneticPr fontId="4" type="noConversion"/>
  </si>
  <si>
    <t>0.6x0.85</t>
    <phoneticPr fontId="4" type="noConversion"/>
  </si>
  <si>
    <t>0.7x0.8</t>
    <phoneticPr fontId="4" type="noConversion"/>
  </si>
  <si>
    <t>문짝만</t>
    <phoneticPr fontId="4" type="noConversion"/>
  </si>
  <si>
    <t>0.6x0.7</t>
    <phoneticPr fontId="4" type="noConversion"/>
  </si>
  <si>
    <t>0.6x0.8</t>
    <phoneticPr fontId="4" type="noConversion"/>
  </si>
  <si>
    <t>0.7x1.4</t>
    <phoneticPr fontId="4" type="noConversion"/>
  </si>
  <si>
    <t>U-CHANNEL</t>
  </si>
  <si>
    <t>단로스위치(WIDE)</t>
  </si>
  <si>
    <t>삼로스위치(WIDE)</t>
  </si>
  <si>
    <t>HFIX 2.5㎟</t>
    <phoneticPr fontId="49" type="noConversion"/>
  </si>
  <si>
    <t>100x100x75</t>
    <phoneticPr fontId="49" type="noConversion"/>
  </si>
  <si>
    <t>400x400x300</t>
    <phoneticPr fontId="49" type="noConversion"/>
  </si>
  <si>
    <t>PVC 박스</t>
    <phoneticPr fontId="4" type="noConversion"/>
  </si>
  <si>
    <t>EA</t>
    <phoneticPr fontId="11" type="noConversion"/>
  </si>
  <si>
    <t>BOX COVER</t>
    <phoneticPr fontId="4" type="noConversion"/>
  </si>
  <si>
    <t>오목형</t>
    <phoneticPr fontId="4" type="noConversion"/>
  </si>
  <si>
    <t>주물10Φ x 150</t>
    <phoneticPr fontId="49" type="noConversion"/>
  </si>
  <si>
    <t>C/T 4각</t>
    <phoneticPr fontId="11" type="noConversion"/>
  </si>
  <si>
    <t>C/T 8각</t>
    <phoneticPr fontId="11" type="noConversion"/>
  </si>
  <si>
    <t>O/L 4각</t>
    <phoneticPr fontId="11" type="noConversion"/>
  </si>
  <si>
    <t>S/W 1개용</t>
    <phoneticPr fontId="11" type="noConversion"/>
  </si>
  <si>
    <t>HOLD DOWN CLAMP</t>
    <phoneticPr fontId="49" type="noConversion"/>
  </si>
  <si>
    <t>R1</t>
    <phoneticPr fontId="4" type="noConversion"/>
  </si>
  <si>
    <t>F-GV 6㎟</t>
    <phoneticPr fontId="4" type="noConversion"/>
  </si>
  <si>
    <t>아연도 28C</t>
  </si>
  <si>
    <t>F-CV 4/C 10㎟</t>
    <phoneticPr fontId="4" type="noConversion"/>
  </si>
  <si>
    <t>F-GV 10㎟</t>
    <phoneticPr fontId="4" type="noConversion"/>
  </si>
  <si>
    <t>폴리에틸렌전선관</t>
  </si>
  <si>
    <t>300x300x300</t>
    <phoneticPr fontId="49" type="noConversion"/>
  </si>
  <si>
    <t>강제전선관</t>
  </si>
  <si>
    <t>HI 28C</t>
    <phoneticPr fontId="4" type="noConversion"/>
  </si>
  <si>
    <t>F-CV 1/C 70㎟</t>
    <phoneticPr fontId="4" type="noConversion"/>
  </si>
  <si>
    <t>※ 관로터파기 및 되메우기 (H=0.6M)</t>
    <phoneticPr fontId="4" type="noConversion"/>
  </si>
  <si>
    <t>※ 관로터파기 및 되메우기 (H=1.2M)</t>
    <phoneticPr fontId="4" type="noConversion"/>
  </si>
  <si>
    <t>EMPTY PIPE</t>
    <phoneticPr fontId="4" type="noConversion"/>
  </si>
  <si>
    <t>개소</t>
  </si>
  <si>
    <t>EA</t>
    <phoneticPr fontId="49" type="noConversion"/>
  </si>
  <si>
    <t>100x100x50</t>
    <phoneticPr fontId="49" type="noConversion"/>
  </si>
  <si>
    <t>SYSTEM BOX(매입형)</t>
  </si>
  <si>
    <t>m</t>
    <phoneticPr fontId="49" type="noConversion"/>
  </si>
  <si>
    <t>레벨스위치</t>
  </si>
  <si>
    <t>전극봉식, 3극</t>
  </si>
  <si>
    <t>1-785</t>
    <phoneticPr fontId="49" type="noConversion"/>
  </si>
  <si>
    <t>1-784</t>
    <phoneticPr fontId="49" type="noConversion"/>
  </si>
  <si>
    <t>1-753</t>
    <phoneticPr fontId="49" type="noConversion"/>
  </si>
  <si>
    <t>1-749</t>
    <phoneticPr fontId="49" type="noConversion"/>
  </si>
  <si>
    <t>1-752</t>
    <phoneticPr fontId="49" type="noConversion"/>
  </si>
  <si>
    <t>PE 28C</t>
  </si>
  <si>
    <t>고장력방수 28C</t>
    <phoneticPr fontId="4" type="noConversion"/>
  </si>
  <si>
    <t>F-CV 3/C 6㎟</t>
    <phoneticPr fontId="4" type="noConversion"/>
  </si>
  <si>
    <t>고장력방수 36C</t>
    <phoneticPr fontId="4" type="noConversion"/>
  </si>
  <si>
    <t>고장력방수 70C</t>
    <phoneticPr fontId="4" type="noConversion"/>
  </si>
  <si>
    <t>『 [  ]안은 배관이 제외된 부분 표시』</t>
    <phoneticPr fontId="4" type="noConversion"/>
  </si>
  <si>
    <t>회 로</t>
    <phoneticPr fontId="4" type="noConversion"/>
  </si>
  <si>
    <t>품  　명　　규  　격</t>
    <phoneticPr fontId="4" type="noConversion"/>
  </si>
  <si>
    <t>산    　　　출　    　　내　    　　용</t>
    <phoneticPr fontId="4" type="noConversion"/>
  </si>
  <si>
    <t>전선관</t>
    <phoneticPr fontId="4" type="noConversion"/>
  </si>
  <si>
    <t>HI 70C</t>
    <phoneticPr fontId="4" type="noConversion"/>
  </si>
  <si>
    <t>F-GV 35㎟</t>
    <phoneticPr fontId="4" type="noConversion"/>
  </si>
  <si>
    <t>실내기</t>
    <phoneticPr fontId="4" type="noConversion"/>
  </si>
  <si>
    <t>■ 1층</t>
    <phoneticPr fontId="4" type="noConversion"/>
  </si>
  <si>
    <t>■ 2층</t>
    <phoneticPr fontId="4" type="noConversion"/>
  </si>
  <si>
    <t>아연도 16C</t>
    <phoneticPr fontId="49" type="noConversion"/>
  </si>
  <si>
    <t>아연도 22C</t>
    <phoneticPr fontId="49" type="noConversion"/>
  </si>
  <si>
    <t>아연도 36C</t>
    <phoneticPr fontId="49" type="noConversion"/>
  </si>
  <si>
    <t>아연도 42C</t>
    <phoneticPr fontId="49" type="noConversion"/>
  </si>
  <si>
    <t>아연도 54C</t>
    <phoneticPr fontId="49" type="noConversion"/>
  </si>
  <si>
    <t>아연도 70C</t>
    <phoneticPr fontId="49" type="noConversion"/>
  </si>
  <si>
    <t>아연도 82C</t>
    <phoneticPr fontId="49" type="noConversion"/>
  </si>
  <si>
    <t>아연도 104C</t>
    <phoneticPr fontId="49" type="noConversion"/>
  </si>
  <si>
    <t>1종금속가요전선관</t>
  </si>
  <si>
    <t>0.6/1KV내화케이블</t>
  </si>
  <si>
    <t>일반비방수 22C</t>
  </si>
  <si>
    <t>F-CV 1/C 150㎟</t>
    <phoneticPr fontId="49" type="noConversion"/>
  </si>
  <si>
    <t>UTP케이블</t>
  </si>
  <si>
    <t>기본식</t>
    <phoneticPr fontId="4" type="noConversion"/>
  </si>
  <si>
    <t>h/6{(2a+a')b+(2a'+a)b'}</t>
    <phoneticPr fontId="4" type="noConversion"/>
  </si>
  <si>
    <t>터파기 기초자료</t>
    <phoneticPr fontId="4" type="noConversion"/>
  </si>
  <si>
    <t>가. 터파기</t>
    <phoneticPr fontId="4" type="noConversion"/>
  </si>
  <si>
    <t>h</t>
    <phoneticPr fontId="4" type="noConversion"/>
  </si>
  <si>
    <t>높이</t>
    <phoneticPr fontId="4" type="noConversion"/>
  </si>
  <si>
    <t>a</t>
    <phoneticPr fontId="4" type="noConversion"/>
  </si>
  <si>
    <t>윗면가로</t>
    <phoneticPr fontId="4" type="noConversion"/>
  </si>
  <si>
    <t>a'</t>
    <phoneticPr fontId="4" type="noConversion"/>
  </si>
  <si>
    <t>아랫면가로</t>
    <phoneticPr fontId="4" type="noConversion"/>
  </si>
  <si>
    <t>b</t>
    <phoneticPr fontId="4" type="noConversion"/>
  </si>
  <si>
    <t>윗면세로</t>
    <phoneticPr fontId="4" type="noConversion"/>
  </si>
  <si>
    <t>나. 레미콘 타설</t>
    <phoneticPr fontId="4" type="noConversion"/>
  </si>
  <si>
    <t>b'</t>
    <phoneticPr fontId="4" type="noConversion"/>
  </si>
  <si>
    <t>아랫면세로</t>
    <phoneticPr fontId="4" type="noConversion"/>
  </si>
  <si>
    <t>레미콘 타설 기초자료</t>
    <phoneticPr fontId="4" type="noConversion"/>
  </si>
  <si>
    <t>다. 합판거푸집</t>
    <phoneticPr fontId="4" type="noConversion"/>
  </si>
  <si>
    <t>라. 되메우기</t>
    <phoneticPr fontId="4" type="noConversion"/>
  </si>
  <si>
    <t>마. 잔토처리</t>
    <phoneticPr fontId="4" type="noConversion"/>
  </si>
  <si>
    <t>독립기초 터파기 기본식: h/6{(2a+a')b+(2a'+a)b'}</t>
    <phoneticPr fontId="4" type="noConversion"/>
  </si>
  <si>
    <t>※ 가로등기초 ( 550 x 1000 x 1200 )</t>
    <phoneticPr fontId="4" type="noConversion"/>
  </si>
  <si>
    <t>저압직선접속재</t>
  </si>
  <si>
    <t>방수레진 6SQ</t>
  </si>
  <si>
    <t>방수레진 10SQ</t>
  </si>
  <si>
    <t>방수레진 16SQ</t>
  </si>
  <si>
    <t>방수레진 25SQ</t>
  </si>
  <si>
    <t>※ 외등기초 ( 450 x 500 x 500 )</t>
    <phoneticPr fontId="4" type="noConversion"/>
  </si>
  <si>
    <t>나. 콘크리트 타설</t>
    <phoneticPr fontId="4" type="noConversion"/>
  </si>
  <si>
    <t>HI 42C</t>
    <phoneticPr fontId="4" type="noConversion"/>
  </si>
  <si>
    <t>ELP 125Φ</t>
    <phoneticPr fontId="11" type="noConversion"/>
  </si>
  <si>
    <t>F-GV 150㎟</t>
    <phoneticPr fontId="49" type="noConversion"/>
  </si>
  <si>
    <t>MCC-P</t>
    <phoneticPr fontId="4" type="noConversion"/>
  </si>
  <si>
    <t>F-CVV-S 3/C 2.5㎟</t>
    <phoneticPr fontId="4" type="noConversion"/>
  </si>
  <si>
    <t>[1]+1.5+3+3.5+2+3+8+2+[2]</t>
    <phoneticPr fontId="4" type="noConversion"/>
  </si>
  <si>
    <t>P.B함</t>
    <phoneticPr fontId="4" type="noConversion"/>
  </si>
  <si>
    <t>[1]+1.5+13+15+2.5+[1]</t>
    <phoneticPr fontId="4" type="noConversion"/>
  </si>
  <si>
    <t>LP-K</t>
    <phoneticPr fontId="4" type="noConversion"/>
  </si>
  <si>
    <t>[1]+2.2+18+2.2+[1]</t>
    <phoneticPr fontId="4" type="noConversion"/>
  </si>
  <si>
    <t>EHP실외기</t>
    <phoneticPr fontId="4" type="noConversion"/>
  </si>
  <si>
    <t>[1]+2.2+22+2</t>
    <phoneticPr fontId="4" type="noConversion"/>
  </si>
  <si>
    <t>4+4+2</t>
    <phoneticPr fontId="4" type="noConversion"/>
  </si>
  <si>
    <t>펙키지에어컨</t>
    <phoneticPr fontId="4" type="noConversion"/>
  </si>
  <si>
    <t>[1]+2.2+3+6+2.5+[2]+2.2+4+15+4</t>
    <phoneticPr fontId="4" type="noConversion"/>
  </si>
  <si>
    <t>베기휀</t>
    <phoneticPr fontId="4" type="noConversion"/>
  </si>
  <si>
    <t>[1]+2.2+2+5</t>
    <phoneticPr fontId="4" type="noConversion"/>
  </si>
  <si>
    <t>[1]+2.2+2+5+5</t>
    <phoneticPr fontId="4" type="noConversion"/>
  </si>
  <si>
    <t>P.B</t>
    <phoneticPr fontId="4" type="noConversion"/>
  </si>
  <si>
    <t>[1]+2+2+18+4</t>
    <phoneticPr fontId="4" type="noConversion"/>
  </si>
  <si>
    <t>[1]+2.2+2+1+5+18+23+25+11+(3x7)</t>
    <phoneticPr fontId="4" type="noConversion"/>
  </si>
  <si>
    <t>배관용홈파기</t>
    <phoneticPr fontId="4" type="noConversion"/>
  </si>
  <si>
    <t>22C이하</t>
    <phoneticPr fontId="4" type="noConversion"/>
  </si>
  <si>
    <t>3x7</t>
    <phoneticPr fontId="4" type="noConversion"/>
  </si>
  <si>
    <t>54C이하</t>
    <phoneticPr fontId="4" type="noConversion"/>
  </si>
  <si>
    <t>2.2+2.2</t>
    <phoneticPr fontId="4" type="noConversion"/>
  </si>
  <si>
    <t>36C이하</t>
    <phoneticPr fontId="4" type="noConversion"/>
  </si>
  <si>
    <t>[1]+2.2+15+2.5+[2]+2.2+6+6+4</t>
    <phoneticPr fontId="4" type="noConversion"/>
  </si>
  <si>
    <t>일반비방수 16C</t>
  </si>
  <si>
    <t>[1]+2.2+7+2+14+14+14+17</t>
    <phoneticPr fontId="4" type="noConversion"/>
  </si>
  <si>
    <t>1.5x9</t>
    <phoneticPr fontId="4" type="noConversion"/>
  </si>
  <si>
    <t>13+13+13</t>
    <phoneticPr fontId="4" type="noConversion"/>
  </si>
  <si>
    <t>5+2.4</t>
    <phoneticPr fontId="4" type="noConversion"/>
  </si>
  <si>
    <t>42C이하</t>
    <phoneticPr fontId="4" type="noConversion"/>
  </si>
  <si>
    <t>ELBOW</t>
  </si>
  <si>
    <t>F-CV 1/C 120㎟</t>
    <phoneticPr fontId="49" type="noConversion"/>
  </si>
  <si>
    <t>3.사회과학관 전등 교체 설비공사</t>
    <phoneticPr fontId="4" type="noConversion"/>
  </si>
  <si>
    <t>HFIX 4㎟</t>
    <phoneticPr fontId="4" type="noConversion"/>
  </si>
  <si>
    <t>일반비방수 16C</t>
    <phoneticPr fontId="49" type="noConversion"/>
  </si>
  <si>
    <t>HFIX 1.5㎟</t>
    <phoneticPr fontId="49" type="noConversion"/>
  </si>
  <si>
    <t>내열절연전선</t>
    <phoneticPr fontId="49" type="noConversion"/>
  </si>
  <si>
    <t>0.6/1KV내화케이블</t>
    <phoneticPr fontId="49" type="noConversion"/>
  </si>
  <si>
    <t>『 [  ]안은 배관이 제외된 부분 표시』</t>
    <phoneticPr fontId="4" type="noConversion"/>
  </si>
  <si>
    <t>회 로</t>
    <phoneticPr fontId="4" type="noConversion"/>
  </si>
  <si>
    <t>품  　명　　규  　격</t>
    <phoneticPr fontId="4" type="noConversion"/>
  </si>
  <si>
    <t>산    　　　출　    　　내　    　　용</t>
    <phoneticPr fontId="4" type="noConversion"/>
  </si>
  <si>
    <t>전선관</t>
    <phoneticPr fontId="4" type="noConversion"/>
  </si>
  <si>
    <t>스위치</t>
    <phoneticPr fontId="4" type="noConversion"/>
  </si>
  <si>
    <t>HFIX 2.5㎟</t>
    <phoneticPr fontId="4" type="noConversion"/>
  </si>
  <si>
    <t>HI 22C</t>
    <phoneticPr fontId="4" type="noConversion"/>
  </si>
  <si>
    <t>[0.2]+2.5+[0.2]</t>
    <phoneticPr fontId="4" type="noConversion"/>
  </si>
  <si>
    <t>배관용홈파기</t>
    <phoneticPr fontId="4" type="noConversion"/>
  </si>
  <si>
    <t>22C이하</t>
    <phoneticPr fontId="4" type="noConversion"/>
  </si>
  <si>
    <t>전자칠판</t>
    <phoneticPr fontId="4" type="noConversion"/>
  </si>
  <si>
    <t>HFIX 4㎟</t>
    <phoneticPr fontId="4" type="noConversion"/>
  </si>
  <si>
    <t>HI 16C</t>
    <phoneticPr fontId="4" type="noConversion"/>
  </si>
  <si>
    <t>[0.2]+1.2+[0.2]</t>
    <phoneticPr fontId="4" type="noConversion"/>
  </si>
  <si>
    <t>전기온수기</t>
    <phoneticPr fontId="4" type="noConversion"/>
  </si>
  <si>
    <t>[0.5]+1.8+3+24+10+2.8+[1]</t>
    <phoneticPr fontId="4" type="noConversion"/>
  </si>
  <si>
    <t>15A 250V 6구</t>
  </si>
  <si>
    <t>15A 250V 4구</t>
    <phoneticPr fontId="49" type="noConversion"/>
  </si>
  <si>
    <t>콘크리트박스(아연도)</t>
  </si>
  <si>
    <t>54mm 8각</t>
  </si>
  <si>
    <t>스위치박스(아연도)</t>
  </si>
  <si>
    <t>54mm 1개용</t>
  </si>
  <si>
    <t xml:space="preserve">1-3. 본관동 소화기설치공사 </t>
    <phoneticPr fontId="4" type="noConversion"/>
  </si>
  <si>
    <t>54mm 4각</t>
    <phoneticPr fontId="49" type="noConversion"/>
  </si>
  <si>
    <t>1-792</t>
    <phoneticPr fontId="49" type="noConversion"/>
  </si>
  <si>
    <t xml:space="preserve"> 전기공사 1식</t>
    <phoneticPr fontId="4" type="noConversion"/>
  </si>
  <si>
    <t>ACSR-OC 58㎟</t>
  </si>
  <si>
    <t>ACSR 58㎟</t>
  </si>
  <si>
    <t>CABLE TRAY</t>
  </si>
  <si>
    <t>22.9KV동심알루미늄절연전선</t>
  </si>
  <si>
    <t>22.9KV동심알루미늄전선</t>
  </si>
  <si>
    <t>PE 16C</t>
    <phoneticPr fontId="49" type="noConversion"/>
  </si>
  <si>
    <t>PE 22C</t>
    <phoneticPr fontId="49" type="noConversion"/>
  </si>
  <si>
    <t>F-GV 95㎟</t>
    <phoneticPr fontId="49" type="noConversion"/>
  </si>
  <si>
    <t>한전불입금 및 안전공사 수수료</t>
    <phoneticPr fontId="4" type="noConversion"/>
  </si>
  <si>
    <t>=</t>
    <phoneticPr fontId="4" type="noConversion"/>
  </si>
  <si>
    <t>백단위절상</t>
    <phoneticPr fontId="4" type="noConversion"/>
  </si>
  <si>
    <t>F-CVV-S 3/C 1.5㎟</t>
  </si>
  <si>
    <t>0.6/1KV난연제어케이블</t>
  </si>
  <si>
    <t>㎥</t>
    <phoneticPr fontId="4" type="noConversion"/>
  </si>
  <si>
    <t>식</t>
  </si>
  <si>
    <t>F-CV 1/C 95㎟</t>
    <phoneticPr fontId="49" type="noConversion"/>
  </si>
  <si>
    <t>품       명</t>
    <phoneticPr fontId="4" type="noConversion"/>
  </si>
  <si>
    <t>규         격</t>
    <phoneticPr fontId="4" type="noConversion"/>
  </si>
  <si>
    <t>단위</t>
    <phoneticPr fontId="4" type="noConversion"/>
  </si>
  <si>
    <t>수  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</si>
  <si>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</si>
  <si>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</si>
  <si>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</si>
  <si>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총 계</t>
    <phoneticPr fontId="4" type="noConversion"/>
  </si>
  <si>
    <t>비 고</t>
    <phoneticPr fontId="4" type="noConversion"/>
  </si>
  <si>
    <t>단가</t>
    <phoneticPr fontId="4" type="noConversion"/>
  </si>
  <si>
    <t>금액</t>
    <phoneticPr fontId="4" type="noConversion"/>
  </si>
  <si>
    <t>합    계</t>
    <phoneticPr fontId="4" type="noConversion"/>
  </si>
  <si>
    <t>조달수수료</t>
    <phoneticPr fontId="4" type="noConversion"/>
  </si>
  <si>
    <t>Φ65</t>
    <phoneticPr fontId="49" type="noConversion"/>
  </si>
  <si>
    <t>15A 250V 2구</t>
    <phoneticPr fontId="49" type="noConversion"/>
  </si>
  <si>
    <t>FR-8 4/C 4㎟</t>
    <phoneticPr fontId="49" type="noConversion"/>
  </si>
  <si>
    <t>누전차단기부착콘센트</t>
  </si>
  <si>
    <t>4P 60AF 60AT</t>
    <phoneticPr fontId="49" type="noConversion"/>
  </si>
  <si>
    <t>1-830</t>
  </si>
  <si>
    <t>CN/CV-W 1C 60㎟</t>
    <phoneticPr fontId="4" type="noConversion"/>
  </si>
  <si>
    <t>PULL BOX (SUS)</t>
  </si>
  <si>
    <t>수막처리봉</t>
  </si>
  <si>
    <t>Φ18x500L</t>
  </si>
  <si>
    <t>300x300x300</t>
  </si>
  <si>
    <t>1-812</t>
    <phoneticPr fontId="49" type="noConversion"/>
  </si>
  <si>
    <t>금    액</t>
    <phoneticPr fontId="4" type="noConversion"/>
  </si>
  <si>
    <t>구  성  비</t>
    <phoneticPr fontId="4" type="noConversion"/>
  </si>
  <si>
    <t>비 고</t>
    <phoneticPr fontId="4" type="noConversion"/>
  </si>
  <si>
    <t>순  공  사  원  가</t>
    <phoneticPr fontId="4" type="noConversion"/>
  </si>
  <si>
    <t>직 접 재 료 비</t>
    <phoneticPr fontId="4" type="noConversion"/>
  </si>
  <si>
    <t>간 접 노 무 비</t>
    <phoneticPr fontId="4" type="noConversion"/>
  </si>
  <si>
    <t>x 직접노무비</t>
    <phoneticPr fontId="4" type="noConversion"/>
  </si>
  <si>
    <t>경          비</t>
    <phoneticPr fontId="4" type="noConversion"/>
  </si>
  <si>
    <t>산 재 보 험 료</t>
    <phoneticPr fontId="4" type="noConversion"/>
  </si>
  <si>
    <t>x 노무비</t>
    <phoneticPr fontId="4" type="noConversion"/>
  </si>
  <si>
    <t>고 용 보 험 료</t>
    <phoneticPr fontId="4" type="noConversion"/>
  </si>
  <si>
    <t>건 강 보 험 료</t>
    <phoneticPr fontId="4" type="noConversion"/>
  </si>
  <si>
    <t>노인장기요양보험료</t>
    <phoneticPr fontId="4" type="noConversion"/>
  </si>
  <si>
    <t>x 건강보험료</t>
    <phoneticPr fontId="4" type="noConversion"/>
  </si>
  <si>
    <t>연 금 보 험 료</t>
    <phoneticPr fontId="4" type="noConversion"/>
  </si>
  <si>
    <t>퇴직공제부금비</t>
    <phoneticPr fontId="4" type="noConversion"/>
  </si>
  <si>
    <t>x (직접노무비)</t>
    <phoneticPr fontId="4" type="noConversion"/>
  </si>
  <si>
    <t>비</t>
    <phoneticPr fontId="4" type="noConversion"/>
  </si>
  <si>
    <t>기 타 경 비</t>
    <phoneticPr fontId="4" type="noConversion"/>
  </si>
  <si>
    <t>x (재료비+노무비)</t>
    <phoneticPr fontId="4" type="noConversion"/>
  </si>
  <si>
    <t>A+B+C</t>
    <phoneticPr fontId="4" type="noConversion"/>
  </si>
  <si>
    <t>x (A+B+C)</t>
    <phoneticPr fontId="4" type="noConversion"/>
  </si>
  <si>
    <t>x (B+C+D)</t>
    <phoneticPr fontId="4" type="noConversion"/>
  </si>
  <si>
    <t>총      원      가</t>
    <phoneticPr fontId="4" type="noConversion"/>
  </si>
  <si>
    <t>부  가  가  치  세</t>
    <phoneticPr fontId="4" type="noConversion"/>
  </si>
  <si>
    <t>x (A+B+C+D+E)</t>
    <phoneticPr fontId="4" type="noConversion"/>
  </si>
  <si>
    <t>사 용 전  검 사 비</t>
    <phoneticPr fontId="4" type="noConversion"/>
  </si>
  <si>
    <t>총  공  사  금  액</t>
    <phoneticPr fontId="4" type="noConversion"/>
  </si>
  <si>
    <t>구  분</t>
    <phoneticPr fontId="4" type="noConversion"/>
  </si>
  <si>
    <t>용 량(거리)</t>
    <phoneticPr fontId="4" type="noConversion"/>
  </si>
  <si>
    <t>기본료</t>
    <phoneticPr fontId="4" type="noConversion"/>
  </si>
  <si>
    <t>추가부담 금액</t>
    <phoneticPr fontId="4" type="noConversion"/>
  </si>
  <si>
    <t>소   계</t>
    <phoneticPr fontId="4" type="noConversion"/>
  </si>
  <si>
    <t>비  고</t>
    <phoneticPr fontId="4" type="noConversion"/>
  </si>
  <si>
    <t>x</t>
    <phoneticPr fontId="4" type="noConversion"/>
  </si>
  <si>
    <t>=</t>
    <phoneticPr fontId="4" type="noConversion"/>
  </si>
  <si>
    <t>소     계</t>
    <phoneticPr fontId="4" type="noConversion"/>
  </si>
  <si>
    <t>부가가치세</t>
    <phoneticPr fontId="4" type="noConversion"/>
  </si>
  <si>
    <t xml:space="preserve">한  전  불  입  금 </t>
    <phoneticPr fontId="4" type="noConversion"/>
  </si>
  <si>
    <t>백단위절상</t>
    <phoneticPr fontId="4" type="noConversion"/>
  </si>
  <si>
    <t>사 용 전 검 사 비</t>
    <phoneticPr fontId="4" type="noConversion"/>
  </si>
  <si>
    <t>No.</t>
    <phoneticPr fontId="3" type="noConversion"/>
  </si>
  <si>
    <t>품      명</t>
    <phoneticPr fontId="4" type="noConversion"/>
  </si>
  <si>
    <t>규      격</t>
    <phoneticPr fontId="4" type="noConversion"/>
  </si>
  <si>
    <t>재 료 비</t>
    <phoneticPr fontId="4" type="noConversion"/>
  </si>
  <si>
    <t>노 무 비</t>
    <phoneticPr fontId="4" type="noConversion"/>
  </si>
  <si>
    <t>경   비</t>
    <phoneticPr fontId="4" type="noConversion"/>
  </si>
  <si>
    <t>총    액</t>
    <phoneticPr fontId="11" type="noConversion"/>
  </si>
  <si>
    <t>단  가</t>
    <phoneticPr fontId="3" type="noConversion"/>
  </si>
  <si>
    <t>금  액</t>
    <phoneticPr fontId="3" type="noConversion"/>
  </si>
  <si>
    <t xml:space="preserve"> &lt;&lt; 일위대가 집계표 &gt;&gt;</t>
    <phoneticPr fontId="3" type="noConversion"/>
  </si>
  <si>
    <t>EA</t>
    <phoneticPr fontId="3" type="noConversion"/>
  </si>
  <si>
    <t>내선전공</t>
    <phoneticPr fontId="3" type="noConversion"/>
  </si>
  <si>
    <t>견  적  서</t>
    <phoneticPr fontId="4" type="noConversion"/>
  </si>
  <si>
    <t>멀티덕트(AL)</t>
  </si>
  <si>
    <t>격벽, 125x50</t>
  </si>
  <si>
    <t>BODY, 150x50</t>
  </si>
  <si>
    <t>격벽, 150x50</t>
  </si>
  <si>
    <t>COVER, 125x50</t>
  </si>
  <si>
    <t>COVER, 150x50</t>
  </si>
  <si>
    <t>V/ELBOW, 125x50</t>
  </si>
  <si>
    <t>V/ELBOW, 150x50</t>
  </si>
  <si>
    <t>END CAP, 150x50</t>
  </si>
  <si>
    <t>달대볼트(SUS)</t>
  </si>
  <si>
    <t>41x41x2.6t</t>
  </si>
  <si>
    <t>Φ100</t>
    <phoneticPr fontId="49" type="noConversion"/>
  </si>
  <si>
    <t>1-738</t>
    <phoneticPr fontId="49" type="noConversion"/>
  </si>
  <si>
    <t>1-745</t>
    <phoneticPr fontId="49" type="noConversion"/>
  </si>
  <si>
    <t>작  업  부  산  물</t>
    <phoneticPr fontId="4" type="noConversion"/>
  </si>
  <si>
    <t>품       명</t>
    <phoneticPr fontId="4" type="noConversion"/>
  </si>
  <si>
    <t>규         격</t>
    <phoneticPr fontId="4" type="noConversion"/>
  </si>
  <si>
    <t>단위</t>
    <phoneticPr fontId="4" type="noConversion"/>
  </si>
  <si>
    <t>수  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</si>
  <si>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</si>
  <si>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</si>
  <si>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</si>
  <si>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총 계</t>
    <phoneticPr fontId="4" type="noConversion"/>
  </si>
  <si>
    <t>비 고</t>
    <phoneticPr fontId="4" type="noConversion"/>
  </si>
  <si>
    <t>단가</t>
    <phoneticPr fontId="4" type="noConversion"/>
  </si>
  <si>
    <t>본관</t>
    <phoneticPr fontId="4" type="noConversion"/>
  </si>
  <si>
    <t>기숙사</t>
    <phoneticPr fontId="4" type="noConversion"/>
  </si>
  <si>
    <t>강당</t>
    <phoneticPr fontId="4" type="noConversion"/>
  </si>
  <si>
    <t>고자재감</t>
  </si>
  <si>
    <t>직부등</t>
    <phoneticPr fontId="4" type="noConversion"/>
  </si>
  <si>
    <t>선풍기</t>
    <phoneticPr fontId="4" type="noConversion"/>
  </si>
  <si>
    <t>합   계</t>
    <phoneticPr fontId="4" type="noConversion"/>
  </si>
  <si>
    <t>■ 작업부산물공제</t>
    <phoneticPr fontId="4" type="noConversion"/>
  </si>
  <si>
    <t>CAT-5E 4P</t>
    <phoneticPr fontId="49" type="noConversion"/>
  </si>
  <si>
    <t>1-698</t>
    <phoneticPr fontId="49" type="noConversion"/>
  </si>
  <si>
    <t>특별인부</t>
    <phoneticPr fontId="4" type="noConversion"/>
  </si>
  <si>
    <t>FR-3 3/C 2.5㎟</t>
    <phoneticPr fontId="49" type="noConversion"/>
  </si>
  <si>
    <t>FR-8 3/C 25㎟</t>
    <phoneticPr fontId="49" type="noConversion"/>
  </si>
  <si>
    <t>F-CVV 4/C 1.5㎟</t>
    <phoneticPr fontId="49" type="noConversion"/>
  </si>
  <si>
    <t>F-CVV 7/C 1.5㎟</t>
    <phoneticPr fontId="49" type="noConversion"/>
  </si>
  <si>
    <t>H/TEE</t>
    <phoneticPr fontId="49" type="noConversion"/>
  </si>
  <si>
    <t>F-CV 2/C 35㎟</t>
    <phoneticPr fontId="49" type="noConversion"/>
  </si>
  <si>
    <t>달대볼트</t>
    <phoneticPr fontId="4" type="noConversion"/>
  </si>
  <si>
    <t>셋트앙카</t>
    <phoneticPr fontId="11" type="noConversion"/>
  </si>
  <si>
    <t>EA</t>
    <phoneticPr fontId="11" type="noConversion"/>
  </si>
  <si>
    <t>스트롱앙카</t>
    <phoneticPr fontId="11" type="noConversion"/>
  </si>
  <si>
    <t>9Φ</t>
    <phoneticPr fontId="11" type="noConversion"/>
  </si>
  <si>
    <t>스트롱앙카(SUS)</t>
    <phoneticPr fontId="11" type="noConversion"/>
  </si>
  <si>
    <t>인서트앙카</t>
    <phoneticPr fontId="11" type="noConversion"/>
  </si>
  <si>
    <t>1-744</t>
    <phoneticPr fontId="49" type="noConversion"/>
  </si>
  <si>
    <t>파이프행가</t>
    <phoneticPr fontId="11" type="noConversion"/>
  </si>
  <si>
    <t>1개용 16mm-1방출</t>
  </si>
  <si>
    <t>1-703</t>
    <phoneticPr fontId="49" type="noConversion"/>
  </si>
  <si>
    <t>1-782</t>
    <phoneticPr fontId="49" type="noConversion"/>
  </si>
  <si>
    <t>1-122</t>
    <phoneticPr fontId="49" type="noConversion"/>
  </si>
  <si>
    <t>4P 250AF 250AT</t>
    <phoneticPr fontId="49" type="noConversion"/>
  </si>
  <si>
    <t>FR-8 3/C 4㎟</t>
    <phoneticPr fontId="49" type="noConversion"/>
  </si>
  <si>
    <t>FR-3 4/C 2.5㎟</t>
    <phoneticPr fontId="49" type="noConversion"/>
  </si>
  <si>
    <t>데이터케이블</t>
  </si>
  <si>
    <t>AWG#24 2C</t>
  </si>
  <si>
    <t>일반방수 70C</t>
    <phoneticPr fontId="49" type="noConversion"/>
  </si>
  <si>
    <t>각몰드</t>
  </si>
  <si>
    <t>12.5x6.15mm(1호)</t>
  </si>
  <si>
    <t>1-739</t>
    <phoneticPr fontId="49" type="noConversion"/>
  </si>
  <si>
    <t>매입형전류계.정/반한시</t>
  </si>
  <si>
    <t>영상변류기(ZCT) EOCR용</t>
  </si>
  <si>
    <t>35Ø(200:1.5mA)</t>
  </si>
  <si>
    <t>2.7kW/220V  4kW/440V</t>
  </si>
  <si>
    <t>(110/220V) 1P.3P 30UF</t>
  </si>
  <si>
    <t>단자대(TB)</t>
  </si>
  <si>
    <t>3P 30A</t>
  </si>
  <si>
    <t>DC 110V/125V 25mm</t>
  </si>
  <si>
    <t>AC 110/220V 25mm</t>
  </si>
  <si>
    <t>300V 6A 2a 2b</t>
  </si>
  <si>
    <t>DIAZED FUSE</t>
  </si>
  <si>
    <t>25A 이하 W/HOLDER</t>
  </si>
  <si>
    <t>3.7kW/220V  5.5kW/440V</t>
  </si>
  <si>
    <t>7.5kW/220V 15kW/440V</t>
  </si>
  <si>
    <t>(380/440V) 3P 20UF</t>
  </si>
  <si>
    <t>(380/440V) 3P 100UF</t>
  </si>
  <si>
    <t>3P 60A</t>
  </si>
  <si>
    <t>1-744</t>
    <phoneticPr fontId="49" type="noConversion"/>
  </si>
  <si>
    <t>1-705</t>
    <phoneticPr fontId="49" type="noConversion"/>
  </si>
  <si>
    <t>분전함(ALL STS-1.5t)</t>
  </si>
  <si>
    <t>700x1200x200</t>
  </si>
  <si>
    <t>중</t>
  </si>
  <si>
    <t>소</t>
  </si>
  <si>
    <t>KEY HANDLE(대)</t>
  </si>
  <si>
    <t>BUS-BAR(석도금)</t>
  </si>
  <si>
    <t>3Tx25mm</t>
  </si>
  <si>
    <t>3Tx15mm</t>
  </si>
  <si>
    <t>EOCR(FDZ:지락보호)</t>
  </si>
  <si>
    <t>전자접촉기(MC)</t>
  </si>
  <si>
    <t>전자접촉기(MC)</t>
    <phoneticPr fontId="11" type="noConversion"/>
  </si>
  <si>
    <t>PILOT LAMP (LED)</t>
  </si>
  <si>
    <t>PUSH BUTTON S/W (LED)</t>
  </si>
  <si>
    <t>10P</t>
  </si>
  <si>
    <t>접지단자</t>
  </si>
  <si>
    <t>중성단자</t>
  </si>
  <si>
    <t>700x1000x200</t>
  </si>
  <si>
    <t>KEY BUTTON (HD303 대)</t>
  </si>
  <si>
    <t>3P 50AF 30AT</t>
    <phoneticPr fontId="49" type="noConversion"/>
  </si>
  <si>
    <t>4Tx15mm</t>
  </si>
  <si>
    <t>800x1500x150</t>
  </si>
  <si>
    <t>5Tx20mm</t>
  </si>
  <si>
    <t>800x900x150</t>
  </si>
  <si>
    <t>700x1500x150</t>
  </si>
  <si>
    <t>600x1000x150</t>
  </si>
  <si>
    <t>650x800x150</t>
  </si>
  <si>
    <t>분전함(DOOR STS-1.5t)</t>
  </si>
  <si>
    <t>500x600x150</t>
  </si>
  <si>
    <t>2P 50AF 40AT</t>
    <phoneticPr fontId="49" type="noConversion"/>
  </si>
  <si>
    <t>2P 50AF 30AT</t>
    <phoneticPr fontId="49" type="noConversion"/>
  </si>
  <si>
    <t>면</t>
    <phoneticPr fontId="49" type="noConversion"/>
  </si>
  <si>
    <t>1-730</t>
    <phoneticPr fontId="49" type="noConversion"/>
  </si>
  <si>
    <t>1-783</t>
    <phoneticPr fontId="49" type="noConversion"/>
  </si>
  <si>
    <t>1-781</t>
    <phoneticPr fontId="49" type="noConversion"/>
  </si>
  <si>
    <t>1-791</t>
    <phoneticPr fontId="49" type="noConversion"/>
  </si>
  <si>
    <t>1-770</t>
    <phoneticPr fontId="49" type="noConversion"/>
  </si>
  <si>
    <t>1-798</t>
    <phoneticPr fontId="49" type="noConversion"/>
  </si>
  <si>
    <t>1-798</t>
    <phoneticPr fontId="49" type="noConversion"/>
  </si>
  <si>
    <t>1-801</t>
    <phoneticPr fontId="49" type="noConversion"/>
  </si>
  <si>
    <t>1-829</t>
    <phoneticPr fontId="49" type="noConversion"/>
  </si>
  <si>
    <t>BLANK PLATE</t>
    <phoneticPr fontId="4" type="noConversion"/>
  </si>
  <si>
    <t>1개용</t>
    <phoneticPr fontId="4" type="noConversion"/>
  </si>
  <si>
    <t>W:50xH:35x1.2t</t>
    <phoneticPr fontId="49" type="noConversion"/>
  </si>
  <si>
    <t>5C-HFBT</t>
  </si>
  <si>
    <t>고발포동축케이블</t>
  </si>
  <si>
    <t>1-705</t>
    <phoneticPr fontId="49" type="noConversion"/>
  </si>
  <si>
    <t>1-706</t>
    <phoneticPr fontId="49" type="noConversion"/>
  </si>
  <si>
    <t>1-784</t>
    <phoneticPr fontId="49" type="noConversion"/>
  </si>
  <si>
    <t>1-783</t>
    <phoneticPr fontId="49" type="noConversion"/>
  </si>
  <si>
    <t>1-830</t>
    <phoneticPr fontId="49" type="noConversion"/>
  </si>
  <si>
    <t>PVC몰드</t>
    <phoneticPr fontId="4" type="noConversion"/>
  </si>
  <si>
    <t>대, W51mmxH19mm</t>
    <phoneticPr fontId="4" type="noConversion"/>
  </si>
  <si>
    <t>전품3-38</t>
    <phoneticPr fontId="29" type="noConversion"/>
  </si>
  <si>
    <t>4P 125AF 100AT</t>
    <phoneticPr fontId="49" type="noConversion"/>
  </si>
  <si>
    <t>전품5-13</t>
    <phoneticPr fontId="29" type="noConversion"/>
  </si>
  <si>
    <t>전품5-13</t>
    <phoneticPr fontId="29" type="noConversion"/>
  </si>
  <si>
    <t>1-784</t>
    <phoneticPr fontId="49" type="noConversion"/>
  </si>
  <si>
    <t>F-GV 6㎟</t>
    <phoneticPr fontId="4" type="noConversion"/>
  </si>
  <si>
    <t>개소</t>
    <phoneticPr fontId="4" type="noConversion"/>
  </si>
  <si>
    <t>600x800x180</t>
    <phoneticPr fontId="4" type="noConversion"/>
  </si>
  <si>
    <t xml:space="preserve">  - 크레인 트럭 3TON, H = 10~12M</t>
    <phoneticPr fontId="4" type="noConversion"/>
  </si>
  <si>
    <t xml:space="preserve">    Tc : 1본당 F=1.0 에서의 작업소요시간(10~12M이하: 39분)</t>
    <phoneticPr fontId="4" type="noConversion"/>
  </si>
  <si>
    <t>규  격</t>
    <phoneticPr fontId="4" type="noConversion"/>
  </si>
  <si>
    <t>심선수</t>
    <phoneticPr fontId="4" type="noConversion"/>
  </si>
  <si>
    <t>단면적(mm2)</t>
    <phoneticPr fontId="4" type="noConversion"/>
  </si>
  <si>
    <t>총단면적(mm2)</t>
    <phoneticPr fontId="4" type="noConversion"/>
  </si>
  <si>
    <t>수량(m)</t>
    <phoneticPr fontId="4" type="noConversion"/>
  </si>
  <si>
    <t>산    식</t>
    <phoneticPr fontId="4" type="noConversion"/>
  </si>
  <si>
    <t>총중량(kg)</t>
    <phoneticPr fontId="4" type="noConversion"/>
  </si>
  <si>
    <t>ⓐ</t>
    <phoneticPr fontId="4" type="noConversion"/>
  </si>
  <si>
    <t>ⓑ (πr²)</t>
    <phoneticPr fontId="4" type="noConversion"/>
  </si>
  <si>
    <t>ⓐxⓑ=ⓒ</t>
    <phoneticPr fontId="4" type="noConversion"/>
  </si>
  <si>
    <t>ⓓ</t>
    <phoneticPr fontId="4" type="noConversion"/>
  </si>
  <si>
    <t>ⓔ</t>
    <phoneticPr fontId="4" type="noConversion"/>
  </si>
  <si>
    <t>ⓒ x ⓓ x ⓔ</t>
    <phoneticPr fontId="4" type="noConversion"/>
  </si>
  <si>
    <t>■동설</t>
    <phoneticPr fontId="4" type="noConversion"/>
  </si>
  <si>
    <t>H100</t>
    <phoneticPr fontId="49" type="noConversion"/>
  </si>
  <si>
    <t>1-784</t>
    <phoneticPr fontId="49" type="noConversion"/>
  </si>
  <si>
    <t>1-753</t>
    <phoneticPr fontId="49" type="noConversion"/>
  </si>
  <si>
    <t>1-756</t>
    <phoneticPr fontId="49" type="noConversion"/>
  </si>
  <si>
    <t>JUNCTION BOX</t>
    <phoneticPr fontId="49" type="noConversion"/>
  </si>
  <si>
    <t>4P 250AF 225AT</t>
    <phoneticPr fontId="49" type="noConversion"/>
  </si>
  <si>
    <t>■고철</t>
    <phoneticPr fontId="4" type="noConversion"/>
  </si>
  <si>
    <t>일반방수 28C</t>
    <phoneticPr fontId="4" type="noConversion"/>
  </si>
  <si>
    <t>전선관지지행거</t>
    <phoneticPr fontId="4" type="noConversion"/>
  </si>
  <si>
    <t>구경:50mm, 두께:150mm이하</t>
    <phoneticPr fontId="4" type="noConversion"/>
  </si>
  <si>
    <t>벽관통구멍뚫기</t>
    <phoneticPr fontId="4" type="noConversion"/>
  </si>
  <si>
    <t>일반비방수 28C</t>
    <phoneticPr fontId="49" type="noConversion"/>
  </si>
  <si>
    <t>분전반개수</t>
  </si>
  <si>
    <t>기존ELB철거</t>
    <phoneticPr fontId="11" type="noConversion"/>
  </si>
  <si>
    <t>2P 30AF 10AT</t>
    <phoneticPr fontId="49" type="noConversion"/>
  </si>
  <si>
    <t>전품5-19</t>
    <phoneticPr fontId="11" type="noConversion"/>
  </si>
  <si>
    <t>2P 30AF 30AT</t>
    <phoneticPr fontId="49" type="noConversion"/>
  </si>
  <si>
    <t>1-714</t>
    <phoneticPr fontId="49" type="noConversion"/>
  </si>
  <si>
    <t>유통876</t>
    <phoneticPr fontId="49" type="noConversion"/>
  </si>
  <si>
    <t>HI 28C</t>
    <phoneticPr fontId="4" type="noConversion"/>
  </si>
  <si>
    <t>지하층</t>
    <phoneticPr fontId="4" type="noConversion"/>
  </si>
  <si>
    <t>28C</t>
    <phoneticPr fontId="4" type="noConversion"/>
  </si>
  <si>
    <t>전극봉식, 5극</t>
    <phoneticPr fontId="49" type="noConversion"/>
  </si>
  <si>
    <t>전품5-22</t>
    <phoneticPr fontId="29" type="noConversion"/>
  </si>
  <si>
    <t>LED 50W</t>
  </si>
  <si>
    <t>F-CV 3/C 70㎟</t>
    <phoneticPr fontId="49" type="noConversion"/>
  </si>
  <si>
    <t>FR-8 4/C 6㎟</t>
    <phoneticPr fontId="49" type="noConversion"/>
  </si>
  <si>
    <t>250x250x150</t>
  </si>
  <si>
    <t>300x300x150</t>
    <phoneticPr fontId="49" type="noConversion"/>
  </si>
  <si>
    <t>W300</t>
    <phoneticPr fontId="4" type="noConversion"/>
  </si>
  <si>
    <t>HFIX 6㎟</t>
    <phoneticPr fontId="49" type="noConversion"/>
  </si>
  <si>
    <t>1-714</t>
    <phoneticPr fontId="49" type="noConversion"/>
  </si>
  <si>
    <t>1-703</t>
    <phoneticPr fontId="49" type="noConversion"/>
  </si>
  <si>
    <t>AC-1</t>
  </si>
  <si>
    <t>4P 50AF 30AT</t>
    <phoneticPr fontId="11" type="noConversion"/>
  </si>
  <si>
    <t>4P 50AF 50AT</t>
    <phoneticPr fontId="11" type="noConversion"/>
  </si>
  <si>
    <t>4P 125AF 125AT</t>
    <phoneticPr fontId="49" type="noConversion"/>
  </si>
  <si>
    <t>AC-2</t>
    <phoneticPr fontId="11" type="noConversion"/>
  </si>
  <si>
    <t>4P 125AF 60AT</t>
    <phoneticPr fontId="49" type="noConversion"/>
  </si>
  <si>
    <t>4P 125AF 125AT</t>
    <phoneticPr fontId="49" type="noConversion"/>
  </si>
  <si>
    <t>CD 16C</t>
    <phoneticPr fontId="4" type="noConversion"/>
  </si>
  <si>
    <t>1동지하층분전함</t>
    <phoneticPr fontId="4" type="noConversion"/>
  </si>
  <si>
    <t>HFIX 4㎟-바닥</t>
    <phoneticPr fontId="4" type="noConversion"/>
  </si>
  <si>
    <t>HI 28C</t>
    <phoneticPr fontId="4" type="noConversion"/>
  </si>
  <si>
    <t>1동배수펌프1</t>
    <phoneticPr fontId="4" type="noConversion"/>
  </si>
  <si>
    <t>1동배수펌프2</t>
    <phoneticPr fontId="4" type="noConversion"/>
  </si>
  <si>
    <t>배수펌프</t>
    <phoneticPr fontId="4" type="noConversion"/>
  </si>
  <si>
    <t>F-CV 3/C 6㎟</t>
    <phoneticPr fontId="4" type="noConversion"/>
  </si>
  <si>
    <t>F-GV 6㎟</t>
    <phoneticPr fontId="4" type="noConversion"/>
  </si>
  <si>
    <t>일반방수 28C</t>
    <phoneticPr fontId="4" type="noConversion"/>
  </si>
  <si>
    <t>[1]+1.5+2+1</t>
    <phoneticPr fontId="4" type="noConversion"/>
  </si>
  <si>
    <t>L/S</t>
    <phoneticPr fontId="4" type="noConversion"/>
  </si>
  <si>
    <t>F-CVV 3/C 2.5㎟</t>
    <phoneticPr fontId="4" type="noConversion"/>
  </si>
  <si>
    <t>일반방수 22C</t>
    <phoneticPr fontId="4" type="noConversion"/>
  </si>
  <si>
    <t>[1+2.2+2+45]+12+2.2+[1]</t>
    <phoneticPr fontId="4" type="noConversion"/>
  </si>
  <si>
    <t>2동배수펌프1</t>
    <phoneticPr fontId="4" type="noConversion"/>
  </si>
  <si>
    <t>2동배수펌프2</t>
    <phoneticPr fontId="4" type="noConversion"/>
  </si>
  <si>
    <t>장애인리프트</t>
    <phoneticPr fontId="4" type="noConversion"/>
  </si>
  <si>
    <t>F-CV 2/C 6㎟</t>
    <phoneticPr fontId="4" type="noConversion"/>
  </si>
  <si>
    <t>[1+2.2+0.5+2+10]+3+2.5+[1]</t>
    <phoneticPr fontId="4" type="noConversion"/>
  </si>
  <si>
    <t>0.6/1KV난연제어케이블</t>
    <phoneticPr fontId="4" type="noConversion"/>
  </si>
  <si>
    <t>전극봉식, 3극</t>
    <phoneticPr fontId="49" type="noConversion"/>
  </si>
  <si>
    <t>전품5-29-1</t>
    <phoneticPr fontId="29" type="noConversion"/>
  </si>
  <si>
    <t>■ 도급자 관급자재</t>
    <phoneticPr fontId="4" type="noConversion"/>
  </si>
  <si>
    <t>식</t>
    <phoneticPr fontId="4" type="noConversion"/>
  </si>
  <si>
    <t>FR-8 4/C 35㎟</t>
    <phoneticPr fontId="49" type="noConversion"/>
  </si>
  <si>
    <t>W70xH40,4방향</t>
    <phoneticPr fontId="49" type="noConversion"/>
  </si>
  <si>
    <t>W:150xH:100x1.2t</t>
    <phoneticPr fontId="49" type="noConversion"/>
  </si>
  <si>
    <t>H/CROSS</t>
    <phoneticPr fontId="49" type="noConversion"/>
  </si>
  <si>
    <t>부스터펌프함</t>
    <phoneticPr fontId="4" type="noConversion"/>
  </si>
  <si>
    <t>급수가압펌프</t>
    <phoneticPr fontId="4" type="noConversion"/>
  </si>
  <si>
    <t>F-CV 4/C 10㎟</t>
    <phoneticPr fontId="4" type="noConversion"/>
  </si>
  <si>
    <t>F-GV 10㎟</t>
    <phoneticPr fontId="4" type="noConversion"/>
  </si>
  <si>
    <t>아연도 36C</t>
    <phoneticPr fontId="4" type="noConversion"/>
  </si>
  <si>
    <t>[1]+1.5+[1]</t>
    <phoneticPr fontId="4" type="noConversion"/>
  </si>
  <si>
    <t>MCC</t>
    <phoneticPr fontId="4" type="noConversion"/>
  </si>
  <si>
    <t>[1]+2.5+0.5+2+2.5+[1]</t>
    <phoneticPr fontId="4" type="noConversion"/>
  </si>
  <si>
    <t>운동장살수</t>
    <phoneticPr fontId="4" type="noConversion"/>
  </si>
  <si>
    <t>F-CV 3/C 10㎟</t>
    <phoneticPr fontId="4" type="noConversion"/>
  </si>
  <si>
    <t>아연도 54C</t>
    <phoneticPr fontId="4" type="noConversion"/>
  </si>
  <si>
    <t>[1]+2.5+2.5+3+3</t>
    <phoneticPr fontId="4" type="noConversion"/>
  </si>
  <si>
    <t>일반방수 54C</t>
    <phoneticPr fontId="4" type="noConversion"/>
  </si>
  <si>
    <t>배수펌프</t>
    <phoneticPr fontId="4" type="noConversion"/>
  </si>
  <si>
    <t>F-CV 3/C 6㎟</t>
    <phoneticPr fontId="4" type="noConversion"/>
  </si>
  <si>
    <t>F-GV 6㎟</t>
    <phoneticPr fontId="4" type="noConversion"/>
  </si>
  <si>
    <t>아연도 28C</t>
    <phoneticPr fontId="4" type="noConversion"/>
  </si>
  <si>
    <t>일반방수 28C</t>
    <phoneticPr fontId="4" type="noConversion"/>
  </si>
  <si>
    <t>[1]+2.5+4.5+2+3.5</t>
    <phoneticPr fontId="4" type="noConversion"/>
  </si>
  <si>
    <t>L/S</t>
    <phoneticPr fontId="4" type="noConversion"/>
  </si>
  <si>
    <t>F-CVV 3/C 2.5㎟</t>
    <phoneticPr fontId="4" type="noConversion"/>
  </si>
  <si>
    <t>아연도 22C</t>
  </si>
  <si>
    <t>아연도 22C</t>
    <phoneticPr fontId="4" type="noConversion"/>
  </si>
  <si>
    <t>일반방수 22C</t>
    <phoneticPr fontId="4" type="noConversion"/>
  </si>
  <si>
    <t>아연도 28C</t>
    <phoneticPr fontId="4" type="noConversion"/>
  </si>
  <si>
    <t>아연도 36C</t>
    <phoneticPr fontId="4" type="noConversion"/>
  </si>
  <si>
    <t>아연도 54C</t>
    <phoneticPr fontId="4" type="noConversion"/>
  </si>
  <si>
    <t>강제전선관</t>
    <phoneticPr fontId="4" type="noConversion"/>
  </si>
  <si>
    <t>22C</t>
    <phoneticPr fontId="4" type="noConversion"/>
  </si>
  <si>
    <t>36C</t>
    <phoneticPr fontId="4" type="noConversion"/>
  </si>
  <si>
    <t>54C</t>
    <phoneticPr fontId="4" type="noConversion"/>
  </si>
  <si>
    <t>콘덴서</t>
    <phoneticPr fontId="4" type="noConversion"/>
  </si>
  <si>
    <t>3상 10uF</t>
    <phoneticPr fontId="4" type="noConversion"/>
  </si>
  <si>
    <t>HI 36C</t>
    <phoneticPr fontId="4" type="noConversion"/>
  </si>
  <si>
    <t>1동배수펌프2</t>
    <phoneticPr fontId="4" type="noConversion"/>
  </si>
  <si>
    <t>2동배수펌프1</t>
    <phoneticPr fontId="4" type="noConversion"/>
  </si>
  <si>
    <t>2동지하층분전함</t>
    <phoneticPr fontId="4" type="noConversion"/>
  </si>
  <si>
    <t>[1+2.2+0.5+2+14]+3.5+2.2+[1]</t>
    <phoneticPr fontId="4" type="noConversion"/>
  </si>
  <si>
    <t>전품5-40</t>
    <phoneticPr fontId="29" type="noConversion"/>
  </si>
  <si>
    <t>1-753</t>
    <phoneticPr fontId="49" type="noConversion"/>
  </si>
  <si>
    <t>1-741</t>
    <phoneticPr fontId="49" type="noConversion"/>
  </si>
  <si>
    <t>FLOOR BOX</t>
    <phoneticPr fontId="49" type="noConversion"/>
  </si>
  <si>
    <t>1-750</t>
    <phoneticPr fontId="49" type="noConversion"/>
  </si>
  <si>
    <t>12+2.2+1</t>
    <phoneticPr fontId="4" type="noConversion"/>
  </si>
  <si>
    <t>[1+2.2+0.5+2+42]+12+2.2+[1]</t>
    <phoneticPr fontId="4" type="noConversion"/>
  </si>
  <si>
    <t>12+2.2+[1]</t>
    <phoneticPr fontId="4" type="noConversion"/>
  </si>
  <si>
    <t>3.5+2.2+[1]</t>
    <phoneticPr fontId="4" type="noConversion"/>
  </si>
  <si>
    <t>3+2.5+[1]</t>
    <phoneticPr fontId="4" type="noConversion"/>
  </si>
  <si>
    <t>위샤캡</t>
    <phoneticPr fontId="4" type="noConversion"/>
  </si>
  <si>
    <t>104C</t>
    <phoneticPr fontId="4" type="noConversion"/>
  </si>
  <si>
    <t>■1층</t>
    <phoneticPr fontId="4" type="noConversion"/>
  </si>
  <si>
    <t xml:space="preserve">1-4. 동력간선설비공사 </t>
    <phoneticPr fontId="4" type="noConversion"/>
  </si>
  <si>
    <t>P-주방</t>
    <phoneticPr fontId="4" type="noConversion"/>
  </si>
  <si>
    <t>P1</t>
    <phoneticPr fontId="4" type="noConversion"/>
  </si>
  <si>
    <t>P2</t>
    <phoneticPr fontId="4" type="noConversion"/>
  </si>
  <si>
    <t>HFIX 4㎟</t>
    <phoneticPr fontId="4" type="noConversion"/>
  </si>
  <si>
    <t>[1]+2.4+3</t>
    <phoneticPr fontId="4" type="noConversion"/>
  </si>
  <si>
    <t>F-CV 3/C 4㎟</t>
    <phoneticPr fontId="4" type="noConversion"/>
  </si>
  <si>
    <t>1x1</t>
    <phoneticPr fontId="4" type="noConversion"/>
  </si>
  <si>
    <t>[1]+2.4+28.5</t>
    <phoneticPr fontId="4" type="noConversion"/>
  </si>
  <si>
    <t>[1]+2.4+7</t>
    <phoneticPr fontId="4" type="noConversion"/>
  </si>
  <si>
    <t>[1]+1.5+2+8.5+1.2x3</t>
    <phoneticPr fontId="4" type="noConversion"/>
  </si>
  <si>
    <t>P3</t>
    <phoneticPr fontId="4" type="noConversion"/>
  </si>
  <si>
    <t>[1]+1.5+3+4.5+1.2x3</t>
    <phoneticPr fontId="4" type="noConversion"/>
  </si>
  <si>
    <t>P4</t>
    <phoneticPr fontId="4" type="noConversion"/>
  </si>
  <si>
    <t>[1]+1.5+2+1.2x1</t>
    <phoneticPr fontId="4" type="noConversion"/>
  </si>
  <si>
    <t>P5</t>
    <phoneticPr fontId="4" type="noConversion"/>
  </si>
  <si>
    <t>[1]+1.5+7+6.5+1.2x3</t>
    <phoneticPr fontId="4" type="noConversion"/>
  </si>
  <si>
    <t>P6</t>
    <phoneticPr fontId="4" type="noConversion"/>
  </si>
  <si>
    <t>금액</t>
    <phoneticPr fontId="4" type="noConversion"/>
  </si>
  <si>
    <t>4P 250AF 200AT</t>
    <phoneticPr fontId="49" type="noConversion"/>
  </si>
  <si>
    <t>400x300x150</t>
    <phoneticPr fontId="4" type="noConversion"/>
  </si>
  <si>
    <t>600x400x180</t>
    <phoneticPr fontId="4" type="noConversion"/>
  </si>
  <si>
    <t>기존분전반철거(노출형)</t>
    <phoneticPr fontId="4" type="noConversion"/>
  </si>
  <si>
    <t>300x400x150</t>
    <phoneticPr fontId="4" type="noConversion"/>
  </si>
  <si>
    <t>500x700x180</t>
    <phoneticPr fontId="4" type="noConversion"/>
  </si>
  <si>
    <t>400x500x150</t>
    <phoneticPr fontId="4" type="noConversion"/>
  </si>
  <si>
    <t>500x300x180</t>
    <phoneticPr fontId="4" type="noConversion"/>
  </si>
  <si>
    <t>800x900x180</t>
    <phoneticPr fontId="4" type="noConversion"/>
  </si>
  <si>
    <t>400x350x180</t>
    <phoneticPr fontId="4" type="noConversion"/>
  </si>
  <si>
    <t>330x300x180</t>
    <phoneticPr fontId="4" type="noConversion"/>
  </si>
  <si>
    <t>600x700x180</t>
    <phoneticPr fontId="4" type="noConversion"/>
  </si>
  <si>
    <t>400x400x180</t>
    <phoneticPr fontId="4" type="noConversion"/>
  </si>
  <si>
    <t>200x300x150</t>
    <phoneticPr fontId="4" type="noConversion"/>
  </si>
  <si>
    <t>FR-8 4/C 16㎟</t>
    <phoneticPr fontId="49" type="noConversion"/>
  </si>
  <si>
    <t>W450xH100</t>
    <phoneticPr fontId="49" type="noConversion"/>
  </si>
  <si>
    <t>W600xH100</t>
    <phoneticPr fontId="49" type="noConversion"/>
  </si>
  <si>
    <t>1-728</t>
    <phoneticPr fontId="49" type="noConversion"/>
  </si>
  <si>
    <t>1-703</t>
    <phoneticPr fontId="49" type="noConversion"/>
  </si>
  <si>
    <t>1-765</t>
    <phoneticPr fontId="49" type="noConversion"/>
  </si>
  <si>
    <t>1-734</t>
    <phoneticPr fontId="49" type="noConversion"/>
  </si>
  <si>
    <t>기존케이블덕트철거</t>
  </si>
  <si>
    <t>W:60xH:60</t>
  </si>
  <si>
    <t>W:70xH:40</t>
  </si>
  <si>
    <t>W:100xH:100</t>
  </si>
  <si>
    <t>W:150xH:70</t>
  </si>
  <si>
    <t>(0.06x1)x4</t>
    <phoneticPr fontId="4" type="noConversion"/>
  </si>
  <si>
    <t>(0.07x1)x2+(0.04x1)x2</t>
    <phoneticPr fontId="4" type="noConversion"/>
  </si>
  <si>
    <t>(0.1x1)x2+(0.1x1)x2</t>
    <phoneticPr fontId="4" type="noConversion"/>
  </si>
  <si>
    <t>(0.15x1)x2+(0.07x1)x2</t>
    <phoneticPr fontId="4" type="noConversion"/>
  </si>
  <si>
    <t>0.2x0.3x2+0.2x0.15x2+0.3x0.15x2</t>
    <phoneticPr fontId="4" type="noConversion"/>
  </si>
  <si>
    <t>0.3x0.4x2+0.3x0.15x2+0.4x0.15x2</t>
    <phoneticPr fontId="4" type="noConversion"/>
  </si>
  <si>
    <t>0.4x0.5x2+0.4x0.15x2+0.5x0.15x2</t>
    <phoneticPr fontId="4" type="noConversion"/>
  </si>
  <si>
    <t>0.6x0.8x2+0.6x0.18x2+0.8x0.18x2</t>
    <phoneticPr fontId="4" type="noConversion"/>
  </si>
  <si>
    <t>산 식 (단위면적m2)</t>
    <phoneticPr fontId="4" type="noConversion"/>
  </si>
  <si>
    <t>■스테인레스</t>
    <phoneticPr fontId="4" type="noConversion"/>
  </si>
  <si>
    <t>기존분전반문짝</t>
    <phoneticPr fontId="4" type="noConversion"/>
  </si>
  <si>
    <t>0.2x0.3</t>
    <phoneticPr fontId="4" type="noConversion"/>
  </si>
  <si>
    <t>0.33x0.3</t>
    <phoneticPr fontId="4" type="noConversion"/>
  </si>
  <si>
    <t>0.4x0.3</t>
    <phoneticPr fontId="4" type="noConversion"/>
  </si>
  <si>
    <t>0.4x0.35</t>
    <phoneticPr fontId="4" type="noConversion"/>
  </si>
  <si>
    <t>0.4x0.4</t>
    <phoneticPr fontId="4" type="noConversion"/>
  </si>
  <si>
    <t>0.5x0.3</t>
    <phoneticPr fontId="4" type="noConversion"/>
  </si>
  <si>
    <t>0.5x0.7</t>
    <phoneticPr fontId="4" type="noConversion"/>
  </si>
  <si>
    <t>0.6x0.4</t>
    <phoneticPr fontId="4" type="noConversion"/>
  </si>
  <si>
    <t>0.6x0.7</t>
    <phoneticPr fontId="4" type="noConversion"/>
  </si>
  <si>
    <t>0.8x0.9</t>
    <phoneticPr fontId="4" type="noConversion"/>
  </si>
  <si>
    <t>2개용 22mm-1방출</t>
    <phoneticPr fontId="49" type="noConversion"/>
  </si>
  <si>
    <t>m</t>
    <phoneticPr fontId="4" type="noConversion"/>
  </si>
  <si>
    <t>W:60xH:60x1.2t</t>
    <phoneticPr fontId="49" type="noConversion"/>
  </si>
  <si>
    <t>AL DUCT ELBOW</t>
  </si>
  <si>
    <t>60mm, ㄱ,ㄴ,T형</t>
  </si>
  <si>
    <t>m</t>
    <phoneticPr fontId="49" type="noConversion"/>
  </si>
  <si>
    <t>100mm, ㄱ,ㄴ,T형</t>
  </si>
  <si>
    <t>부산물 공제</t>
  </si>
  <si>
    <t>유입변압기(600kVA)</t>
  </si>
  <si>
    <t>견적</t>
    <phoneticPr fontId="4" type="noConversion"/>
  </si>
  <si>
    <t>1-767</t>
    <phoneticPr fontId="49" type="noConversion"/>
  </si>
  <si>
    <t>1-742</t>
    <phoneticPr fontId="49" type="noConversion"/>
  </si>
  <si>
    <t>1-732</t>
    <phoneticPr fontId="49" type="noConversion"/>
  </si>
  <si>
    <t>1-730</t>
    <phoneticPr fontId="49" type="noConversion"/>
  </si>
  <si>
    <t>1-730</t>
    <phoneticPr fontId="49" type="noConversion"/>
  </si>
  <si>
    <t>■작업부산물</t>
    <phoneticPr fontId="4" type="noConversion"/>
  </si>
  <si>
    <t>기존매입평판등철거</t>
  </si>
  <si>
    <t>기존매입슬림등철거</t>
  </si>
  <si>
    <t>FL 2/32W</t>
  </si>
  <si>
    <t>기존파이프펜던트등철거</t>
  </si>
  <si>
    <t>기존방습등철거</t>
  </si>
  <si>
    <t>기존칠판등철거</t>
  </si>
  <si>
    <t>FL 1/32W</t>
  </si>
  <si>
    <t>기존선풍기철거</t>
  </si>
  <si>
    <t>대</t>
    <phoneticPr fontId="4" type="noConversion"/>
  </si>
  <si>
    <t>기존천정직부등철거</t>
  </si>
  <si>
    <t>FL 2/20W</t>
  </si>
  <si>
    <t>기존케이블트레이철거</t>
  </si>
  <si>
    <t>2. H동 작업부산물 고재차감</t>
    <phoneticPr fontId="4" type="noConversion"/>
  </si>
  <si>
    <t>1. F동 작업부산물 고재차감</t>
    <phoneticPr fontId="4" type="noConversion"/>
  </si>
  <si>
    <t>전품5-4</t>
    <phoneticPr fontId="29" type="noConversion"/>
  </si>
  <si>
    <t>후렉시블콘넥터</t>
  </si>
  <si>
    <t>16C 비방수</t>
  </si>
  <si>
    <t>EA</t>
    <phoneticPr fontId="49" type="noConversion"/>
  </si>
  <si>
    <t>2-309</t>
    <phoneticPr fontId="49" type="noConversion"/>
  </si>
  <si>
    <t>22C 방수</t>
  </si>
  <si>
    <t>2-306</t>
    <phoneticPr fontId="49" type="noConversion"/>
  </si>
  <si>
    <t>1-737</t>
    <phoneticPr fontId="49" type="noConversion"/>
  </si>
  <si>
    <t>1110+1111</t>
    <phoneticPr fontId="49" type="noConversion"/>
  </si>
  <si>
    <t>2-312</t>
    <phoneticPr fontId="49" type="noConversion"/>
  </si>
  <si>
    <t>100mm, 수평 ㄱ형</t>
    <phoneticPr fontId="4" type="noConversion"/>
  </si>
  <si>
    <t>100mm, 수평 T형</t>
    <phoneticPr fontId="4" type="noConversion"/>
  </si>
  <si>
    <t>100mm, 수평 +형</t>
    <phoneticPr fontId="4" type="noConversion"/>
  </si>
  <si>
    <t>100mm, 마감</t>
    <phoneticPr fontId="4" type="noConversion"/>
  </si>
  <si>
    <t>저압케이블공</t>
    <phoneticPr fontId="11" type="noConversion"/>
  </si>
  <si>
    <t>2-310</t>
    <phoneticPr fontId="49" type="noConversion"/>
  </si>
  <si>
    <t>M</t>
  </si>
  <si>
    <t>터파기</t>
  </si>
  <si>
    <t>m3</t>
  </si>
  <si>
    <t>동관단자</t>
    <phoneticPr fontId="4" type="noConversion"/>
  </si>
  <si>
    <t>접지용전선</t>
    <phoneticPr fontId="4" type="noConversion"/>
  </si>
  <si>
    <t>가로등방수접속함</t>
    <phoneticPr fontId="4" type="noConversion"/>
  </si>
  <si>
    <t>ELB내장</t>
    <phoneticPr fontId="4" type="noConversion"/>
  </si>
  <si>
    <t>1종금속가요전선관</t>
    <phoneticPr fontId="4" type="noConversion"/>
  </si>
  <si>
    <t>케이블트레이</t>
    <phoneticPr fontId="4" type="noConversion"/>
  </si>
  <si>
    <t>W:600xH:100</t>
    <phoneticPr fontId="4" type="noConversion"/>
  </si>
  <si>
    <t>W600xH100</t>
    <phoneticPr fontId="4" type="noConversion"/>
  </si>
  <si>
    <t>케이블트레이</t>
  </si>
  <si>
    <t>W200xH100</t>
    <phoneticPr fontId="4" type="noConversion"/>
  </si>
  <si>
    <t>H/ELBOW, W:300xH:100</t>
    <phoneticPr fontId="4" type="noConversion"/>
  </si>
  <si>
    <t>H/ELBOW, W:600xH:100</t>
    <phoneticPr fontId="4" type="noConversion"/>
  </si>
  <si>
    <t>H/TEE, W:600xH:100</t>
    <phoneticPr fontId="4" type="noConversion"/>
  </si>
  <si>
    <t>SHANK BOLT &amp; NUT</t>
    <phoneticPr fontId="4" type="noConversion"/>
  </si>
  <si>
    <t>케이블덕트(SUS)</t>
    <phoneticPr fontId="4" type="noConversion"/>
  </si>
  <si>
    <t>H/ELBOW, W200xH100</t>
    <phoneticPr fontId="4" type="noConversion"/>
  </si>
  <si>
    <t>V/ELBOW, W200xH100</t>
    <phoneticPr fontId="4" type="noConversion"/>
  </si>
  <si>
    <t>H/TEE, W200xH100</t>
    <phoneticPr fontId="4" type="noConversion"/>
  </si>
  <si>
    <t>CONNECTOR, W:200xH:100</t>
    <phoneticPr fontId="4" type="noConversion"/>
  </si>
  <si>
    <t>H/ELBOW, W600xH100</t>
    <phoneticPr fontId="4" type="noConversion"/>
  </si>
  <si>
    <t>V/ELBOW, W600xH100</t>
    <phoneticPr fontId="4" type="noConversion"/>
  </si>
  <si>
    <t>CONNECTOR, W:600xH:100</t>
    <phoneticPr fontId="4" type="noConversion"/>
  </si>
  <si>
    <t>STS 3/8"</t>
    <phoneticPr fontId="4" type="noConversion"/>
  </si>
  <si>
    <t>내열절연전선</t>
    <phoneticPr fontId="4" type="noConversion"/>
  </si>
  <si>
    <t>재실감지센서</t>
    <phoneticPr fontId="4" type="noConversion"/>
  </si>
  <si>
    <t>15A</t>
    <phoneticPr fontId="4" type="noConversion"/>
  </si>
  <si>
    <t>MOLD, MEDIUM</t>
    <phoneticPr fontId="49" type="noConversion"/>
  </si>
  <si>
    <t>2-386</t>
    <phoneticPr fontId="49" type="noConversion"/>
  </si>
  <si>
    <t>POWER #115</t>
  </si>
  <si>
    <t>HANDLE CLAMP</t>
  </si>
  <si>
    <t>MEDIUM</t>
  </si>
  <si>
    <t>2-376</t>
    <phoneticPr fontId="49" type="noConversion"/>
  </si>
  <si>
    <t>FLINT GUN</t>
  </si>
  <si>
    <t>접지저항저감제</t>
  </si>
  <si>
    <t>10KG</t>
  </si>
  <si>
    <t>포</t>
    <phoneticPr fontId="49" type="noConversion"/>
  </si>
  <si>
    <t>2-382</t>
    <phoneticPr fontId="49" type="noConversion"/>
  </si>
  <si>
    <t>건설기계운전기사</t>
  </si>
  <si>
    <t>전기맨홀</t>
  </si>
  <si>
    <t>맨홀뚜껑(주철)</t>
  </si>
  <si>
    <t>648Φ</t>
  </si>
  <si>
    <t>MOTOR SUPPORT</t>
    <phoneticPr fontId="49" type="noConversion"/>
  </si>
  <si>
    <t>W100xH1000mm</t>
    <phoneticPr fontId="49" type="noConversion"/>
  </si>
  <si>
    <t>28C 방수</t>
    <phoneticPr fontId="49" type="noConversion"/>
  </si>
  <si>
    <t>FR-8 2/C 6㎟</t>
    <phoneticPr fontId="49" type="noConversion"/>
  </si>
  <si>
    <t>F-CVV 4/C 4㎟</t>
    <phoneticPr fontId="49" type="noConversion"/>
  </si>
  <si>
    <t>1개용 22mm-1방출</t>
    <phoneticPr fontId="49" type="noConversion"/>
  </si>
  <si>
    <t>1개용 28mm-1방출</t>
    <phoneticPr fontId="49" type="noConversion"/>
  </si>
  <si>
    <t>22C 비방수</t>
    <phoneticPr fontId="49" type="noConversion"/>
  </si>
  <si>
    <t>36C 방수</t>
    <phoneticPr fontId="49" type="noConversion"/>
  </si>
  <si>
    <t>2-306</t>
    <phoneticPr fontId="49" type="noConversion"/>
  </si>
  <si>
    <t>2-282</t>
    <phoneticPr fontId="49" type="noConversion"/>
  </si>
  <si>
    <t>14Φx1000㎜</t>
    <phoneticPr fontId="49" type="noConversion"/>
  </si>
  <si>
    <t>2-319</t>
    <phoneticPr fontId="49" type="noConversion"/>
  </si>
  <si>
    <t>2-318</t>
    <phoneticPr fontId="49" type="noConversion"/>
  </si>
  <si>
    <t>2-312</t>
    <phoneticPr fontId="49" type="noConversion"/>
  </si>
  <si>
    <t>분전반</t>
  </si>
  <si>
    <t>POWER #32</t>
    <phoneticPr fontId="4" type="noConversion"/>
  </si>
  <si>
    <t>구조체연속성측정함</t>
    <phoneticPr fontId="4" type="noConversion"/>
  </si>
  <si>
    <t>상-1CCT, 하-2CCT</t>
    <phoneticPr fontId="4" type="noConversion"/>
  </si>
  <si>
    <t>본딩블럭</t>
    <phoneticPr fontId="4" type="noConversion"/>
  </si>
  <si>
    <t>2-375</t>
    <phoneticPr fontId="49" type="noConversion"/>
  </si>
  <si>
    <t>2-376</t>
    <phoneticPr fontId="49" type="noConversion"/>
  </si>
  <si>
    <t>유통965</t>
    <phoneticPr fontId="49" type="noConversion"/>
  </si>
  <si>
    <t>유통961</t>
    <phoneticPr fontId="49" type="noConversion"/>
  </si>
  <si>
    <t>견  적 3</t>
    <phoneticPr fontId="49" type="noConversion"/>
  </si>
  <si>
    <t>유통912</t>
    <phoneticPr fontId="49" type="noConversion"/>
  </si>
  <si>
    <t>발열용접지자재</t>
    <phoneticPr fontId="4" type="noConversion"/>
  </si>
  <si>
    <t>발열용접지자재</t>
    <phoneticPr fontId="49" type="noConversion"/>
  </si>
  <si>
    <t>W:150xH:100</t>
  </si>
  <si>
    <t>H/ELBOW, W150xH100</t>
  </si>
  <si>
    <t>V/ELBOW, W150xH100</t>
  </si>
  <si>
    <t>H/TEE, W150xH100</t>
  </si>
  <si>
    <t>W150</t>
    <phoneticPr fontId="4" type="noConversion"/>
  </si>
  <si>
    <t>CONNECTOR, W:150xH:100</t>
  </si>
  <si>
    <t>케이블덕트(SUS)</t>
  </si>
  <si>
    <t>배전전공</t>
    <phoneticPr fontId="4" type="noConversion"/>
  </si>
  <si>
    <t>접지단자반</t>
    <phoneticPr fontId="49" type="noConversion"/>
  </si>
  <si>
    <t>SUS, 2CCT</t>
    <phoneticPr fontId="49" type="noConversion"/>
  </si>
  <si>
    <t>W110xH50x1.6t</t>
  </si>
  <si>
    <t>W110xH50,3방향</t>
  </si>
  <si>
    <t>W110xH50,4방향</t>
  </si>
  <si>
    <t>노출형 PVC BOX</t>
    <phoneticPr fontId="4" type="noConversion"/>
  </si>
  <si>
    <t>54C 방수</t>
    <phoneticPr fontId="49" type="noConversion"/>
  </si>
  <si>
    <t>H/ELBOW, W:450xH:100</t>
    <phoneticPr fontId="49" type="noConversion"/>
  </si>
  <si>
    <t>H/TEE, W:450xH:100</t>
    <phoneticPr fontId="49" type="noConversion"/>
  </si>
  <si>
    <t>REDUCER, W:450-200</t>
  </si>
  <si>
    <t>W:450xH:100</t>
    <phoneticPr fontId="49" type="noConversion"/>
  </si>
  <si>
    <t>2-313</t>
    <phoneticPr fontId="49" type="noConversion"/>
  </si>
  <si>
    <t>2-271</t>
    <phoneticPr fontId="49" type="noConversion"/>
  </si>
  <si>
    <t>2-303</t>
    <phoneticPr fontId="49" type="noConversion"/>
  </si>
  <si>
    <t>2-302</t>
    <phoneticPr fontId="49" type="noConversion"/>
  </si>
  <si>
    <t>2-313</t>
    <phoneticPr fontId="49" type="noConversion"/>
  </si>
  <si>
    <t>2-307</t>
    <phoneticPr fontId="49" type="noConversion"/>
  </si>
  <si>
    <t>m2</t>
  </si>
  <si>
    <t>CABLE DUCT(W/COVER)</t>
    <phoneticPr fontId="4" type="noConversion"/>
  </si>
  <si>
    <t>16C 방수</t>
    <phoneticPr fontId="49" type="noConversion"/>
  </si>
  <si>
    <t>CABLE DUCT(W/COVER)</t>
  </si>
  <si>
    <t>V/ELBOW, W:150xH:100</t>
  </si>
  <si>
    <t>노말밴드</t>
  </si>
  <si>
    <t>HI PVC 42C</t>
  </si>
  <si>
    <t>압착단자</t>
  </si>
  <si>
    <t>나압착 16㎟</t>
  </si>
  <si>
    <t>동관단자</t>
  </si>
  <si>
    <t>1HOLE 95㎟</t>
  </si>
  <si>
    <t>인력10%+기계90%</t>
  </si>
  <si>
    <t>인터로킹 철거후 재설치</t>
  </si>
  <si>
    <t>특별인부</t>
  </si>
  <si>
    <t>2-271</t>
    <phoneticPr fontId="49" type="noConversion"/>
  </si>
  <si>
    <t>2-266</t>
    <phoneticPr fontId="49" type="noConversion"/>
  </si>
  <si>
    <t>W:200xH:100</t>
    <phoneticPr fontId="4" type="noConversion"/>
  </si>
  <si>
    <t>V/ELBOW, W:200xH:100</t>
    <phoneticPr fontId="4" type="noConversion"/>
  </si>
  <si>
    <t>H/ELBOW, W:200xH:100</t>
    <phoneticPr fontId="4" type="noConversion"/>
  </si>
  <si>
    <t>H/TEE, W:200xH:100</t>
    <phoneticPr fontId="4" type="noConversion"/>
  </si>
  <si>
    <t>15A 250V 2구</t>
    <phoneticPr fontId="4" type="noConversion"/>
  </si>
  <si>
    <t>HI PVC 36C</t>
    <phoneticPr fontId="49" type="noConversion"/>
  </si>
  <si>
    <t>HI PVC 70C</t>
    <phoneticPr fontId="49" type="noConversion"/>
  </si>
  <si>
    <t>나압착 25㎟</t>
    <phoneticPr fontId="49" type="noConversion"/>
  </si>
  <si>
    <t>42C 방수</t>
    <phoneticPr fontId="49" type="noConversion"/>
  </si>
  <si>
    <t>2-270</t>
    <phoneticPr fontId="49" type="noConversion"/>
  </si>
  <si>
    <t>2-271</t>
    <phoneticPr fontId="49" type="noConversion"/>
  </si>
  <si>
    <t>2-248</t>
    <phoneticPr fontId="49" type="noConversion"/>
  </si>
  <si>
    <t>2-266</t>
    <phoneticPr fontId="49" type="noConversion"/>
  </si>
  <si>
    <t>2-281</t>
    <phoneticPr fontId="49" type="noConversion"/>
  </si>
  <si>
    <t>V/ELBOW, W:300xH:100</t>
    <phoneticPr fontId="4" type="noConversion"/>
  </si>
  <si>
    <t>케이블단말처리재</t>
    <phoneticPr fontId="4" type="noConversion"/>
  </si>
  <si>
    <t>23KV 1/C 60㎟</t>
    <phoneticPr fontId="4" type="noConversion"/>
  </si>
  <si>
    <t>F-CVV-S 10/C 1.5㎟</t>
    <phoneticPr fontId="4" type="noConversion"/>
  </si>
  <si>
    <t>VCTF 3/C 1.5㎟</t>
    <phoneticPr fontId="4" type="noConversion"/>
  </si>
  <si>
    <t>600V비닐코드</t>
    <phoneticPr fontId="4" type="noConversion"/>
  </si>
  <si>
    <t>전선관지지행거</t>
  </si>
  <si>
    <t>1HOLE 70㎟</t>
    <phoneticPr fontId="49" type="noConversion"/>
  </si>
  <si>
    <t>H/TEE, W:150xH:100</t>
    <phoneticPr fontId="49" type="noConversion"/>
  </si>
  <si>
    <t>FR-8 2/C 2.5㎟</t>
    <phoneticPr fontId="49" type="noConversion"/>
  </si>
  <si>
    <t>0.54%</t>
    <phoneticPr fontId="4" type="noConversion"/>
  </si>
  <si>
    <t>백단위절상</t>
    <phoneticPr fontId="4" type="noConversion"/>
  </si>
  <si>
    <t>노무비</t>
    <phoneticPr fontId="49" type="noConversion"/>
  </si>
  <si>
    <t>인</t>
    <phoneticPr fontId="49" type="noConversion"/>
  </si>
  <si>
    <t>작업반장</t>
    <phoneticPr fontId="49" type="noConversion"/>
  </si>
  <si>
    <t>줄눈공</t>
    <phoneticPr fontId="49" type="noConversion"/>
  </si>
  <si>
    <t>인력운반공</t>
    <phoneticPr fontId="49" type="noConversion"/>
  </si>
  <si>
    <t>0.6/1KV난연제어케이블</t>
    <phoneticPr fontId="4" type="noConversion"/>
  </si>
  <si>
    <t>1. 분전반 제작 구입</t>
    <phoneticPr fontId="4" type="noConversion"/>
  </si>
  <si>
    <t>도   급    금   액</t>
    <phoneticPr fontId="4" type="noConversion"/>
  </si>
  <si>
    <t>STP CAT-6 4P</t>
    <phoneticPr fontId="4" type="noConversion"/>
  </si>
  <si>
    <t>STP케이블</t>
    <phoneticPr fontId="4" type="noConversion"/>
  </si>
  <si>
    <t xml:space="preserve">   ※ 폐기물상차 기계화 시공</t>
    <phoneticPr fontId="4" type="noConversion"/>
  </si>
  <si>
    <t xml:space="preserve">    q = 0.2, f = 1</t>
    <phoneticPr fontId="4" type="noConversion"/>
  </si>
  <si>
    <t xml:space="preserve">    k = 0.55</t>
    <phoneticPr fontId="4" type="noConversion"/>
  </si>
  <si>
    <t xml:space="preserve">    E = 0.35</t>
    <phoneticPr fontId="4" type="noConversion"/>
  </si>
  <si>
    <t xml:space="preserve">    ㎝ = 18sec (선회각도 135。)</t>
    <phoneticPr fontId="4" type="noConversion"/>
  </si>
  <si>
    <t xml:space="preserve">    Q = 3,600 ×q ×k ×f ×E/㎝ = 20.20(㎥/Hr)</t>
    <phoneticPr fontId="4" type="noConversion"/>
  </si>
  <si>
    <t>1.재료비</t>
    <phoneticPr fontId="4" type="noConversion"/>
  </si>
  <si>
    <t>÷</t>
    <phoneticPr fontId="4" type="noConversion"/>
  </si>
  <si>
    <t>=</t>
    <phoneticPr fontId="4" type="noConversion"/>
  </si>
  <si>
    <t>2.노무비</t>
    <phoneticPr fontId="4" type="noConversion"/>
  </si>
  <si>
    <t>3.기계경비</t>
    <phoneticPr fontId="4" type="noConversion"/>
  </si>
  <si>
    <t>========================================================================</t>
    <phoneticPr fontId="4" type="noConversion"/>
  </si>
  <si>
    <t>계</t>
    <phoneticPr fontId="4" type="noConversion"/>
  </si>
  <si>
    <t>조</t>
    <phoneticPr fontId="11" type="noConversion"/>
  </si>
  <si>
    <t>전품4-39</t>
    <phoneticPr fontId="11" type="noConversion"/>
  </si>
  <si>
    <t>F-CVV 5/C 2.5㎟</t>
    <phoneticPr fontId="49" type="noConversion"/>
  </si>
  <si>
    <t>F-CVV-SB 3/C 1.5㎟</t>
    <phoneticPr fontId="49" type="noConversion"/>
  </si>
  <si>
    <t>F-CVV-SB 3/C 2.5㎟</t>
    <phoneticPr fontId="49" type="noConversion"/>
  </si>
  <si>
    <t>500x500x400</t>
    <phoneticPr fontId="49" type="noConversion"/>
  </si>
  <si>
    <t>면</t>
    <phoneticPr fontId="49" type="noConversion"/>
  </si>
  <si>
    <t>F-GV 4㎟</t>
    <phoneticPr fontId="4" type="noConversion"/>
  </si>
  <si>
    <t>일반방수 36C</t>
    <phoneticPr fontId="4" type="noConversion"/>
  </si>
  <si>
    <t>28C</t>
    <phoneticPr fontId="4" type="noConversion"/>
  </si>
  <si>
    <t>간 접 재 료 비</t>
    <phoneticPr fontId="4" type="noConversion"/>
  </si>
  <si>
    <t>LV/2</t>
    <phoneticPr fontId="4" type="noConversion"/>
  </si>
  <si>
    <t>CD 28C</t>
    <phoneticPr fontId="4" type="noConversion"/>
  </si>
  <si>
    <t>PULL BOX</t>
    <phoneticPr fontId="4" type="noConversion"/>
  </si>
  <si>
    <t>EA</t>
    <phoneticPr fontId="4" type="noConversion"/>
  </si>
  <si>
    <t>4P 125AF 75AT</t>
    <phoneticPr fontId="49" type="noConversion"/>
  </si>
  <si>
    <t>MCCB (W/ZCT)</t>
    <phoneticPr fontId="4" type="noConversion"/>
  </si>
  <si>
    <t>전품5-11</t>
    <phoneticPr fontId="29" type="noConversion"/>
  </si>
  <si>
    <t>W:70xH:40</t>
    <phoneticPr fontId="49" type="noConversion"/>
  </si>
  <si>
    <t>W:100xH:50</t>
    <phoneticPr fontId="49" type="noConversion"/>
  </si>
  <si>
    <t>전품5-13</t>
    <phoneticPr fontId="29" type="noConversion"/>
  </si>
  <si>
    <t>HI 28C</t>
    <phoneticPr fontId="4" type="noConversion"/>
  </si>
  <si>
    <t>F-CV 2/C 4㎟</t>
    <phoneticPr fontId="4" type="noConversion"/>
  </si>
  <si>
    <t>F-GV 4㎟</t>
    <phoneticPr fontId="4" type="noConversion"/>
  </si>
  <si>
    <t>일반방수 28C</t>
    <phoneticPr fontId="4" type="noConversion"/>
  </si>
  <si>
    <t>100x100x100</t>
    <phoneticPr fontId="4" type="noConversion"/>
  </si>
  <si>
    <t>접속반</t>
    <phoneticPr fontId="4" type="noConversion"/>
  </si>
  <si>
    <t>인버터</t>
    <phoneticPr fontId="4" type="noConversion"/>
  </si>
  <si>
    <t>F-GV 16㎟</t>
    <phoneticPr fontId="4" type="noConversion"/>
  </si>
  <si>
    <t>F-CV 4/C 16㎟</t>
    <phoneticPr fontId="4" type="noConversion"/>
  </si>
  <si>
    <t>HI 36C</t>
    <phoneticPr fontId="4" type="noConversion"/>
  </si>
  <si>
    <t>PC</t>
    <phoneticPr fontId="4" type="noConversion"/>
  </si>
  <si>
    <t>일반방수 16C</t>
    <phoneticPr fontId="4" type="noConversion"/>
  </si>
  <si>
    <t>CD 16C</t>
    <phoneticPr fontId="4" type="noConversion"/>
  </si>
  <si>
    <t>UTP케이블</t>
    <phoneticPr fontId="4" type="noConversion"/>
  </si>
  <si>
    <t>4P 50AF 50AT</t>
    <phoneticPr fontId="49" type="noConversion"/>
  </si>
  <si>
    <t>통품4-3-1</t>
    <phoneticPr fontId="29" type="noConversion"/>
  </si>
  <si>
    <t>0.6/1KV난연제어케이블</t>
    <phoneticPr fontId="4" type="noConversion"/>
  </si>
  <si>
    <t>돌봄교실</t>
    <phoneticPr fontId="4" type="noConversion"/>
  </si>
  <si>
    <t>ELP 40Φ</t>
    <phoneticPr fontId="4" type="noConversion"/>
  </si>
  <si>
    <t>[2+2.5+1.5+5+28+7+1.5+3.9+0.5+3]+2+17+3.9</t>
    <phoneticPr fontId="4" type="noConversion"/>
  </si>
  <si>
    <t>5+20+1.5+[1]</t>
    <phoneticPr fontId="4" type="noConversion"/>
  </si>
  <si>
    <t>토공</t>
    <phoneticPr fontId="4" type="noConversion"/>
  </si>
  <si>
    <t>터파기 및 되메우기</t>
    <phoneticPr fontId="4" type="noConversion"/>
  </si>
  <si>
    <t>(5+20)x((0.6+0.4)x0.6x0.5)</t>
    <phoneticPr fontId="4" type="noConversion"/>
  </si>
  <si>
    <t>5+20</t>
    <phoneticPr fontId="4" type="noConversion"/>
  </si>
  <si>
    <t>돌봄교실1</t>
    <phoneticPr fontId="4" type="noConversion"/>
  </si>
  <si>
    <t>돌봄교실2</t>
  </si>
  <si>
    <t>돌봄교실3</t>
  </si>
  <si>
    <t>F-CV 2/C 6㎟</t>
    <phoneticPr fontId="4" type="noConversion"/>
  </si>
  <si>
    <t>F-GV 6㎟</t>
    <phoneticPr fontId="4" type="noConversion"/>
  </si>
  <si>
    <t>[1]+1.5+9+6.5+1.5+[1]</t>
    <phoneticPr fontId="4" type="noConversion"/>
  </si>
  <si>
    <t>[1]+1.5+18+6.5+1.5+[1]</t>
    <phoneticPr fontId="4" type="noConversion"/>
  </si>
  <si>
    <t>[1]+1.5+21+6.5+1.5+[1]</t>
    <phoneticPr fontId="4" type="noConversion"/>
  </si>
  <si>
    <t>F-CV 4/C 4㎟</t>
    <phoneticPr fontId="4" type="noConversion"/>
  </si>
  <si>
    <t>실외기1</t>
    <phoneticPr fontId="4" type="noConversion"/>
  </si>
  <si>
    <t>실외기2</t>
  </si>
  <si>
    <t>실외기3</t>
  </si>
  <si>
    <t>[1]+1.5+18+7.5+3</t>
    <phoneticPr fontId="4" type="noConversion"/>
  </si>
  <si>
    <t>[1]+1.5+9+7.5+3</t>
    <phoneticPr fontId="4" type="noConversion"/>
  </si>
  <si>
    <t>[1]+1.5+21+7.5+3</t>
    <phoneticPr fontId="4" type="noConversion"/>
  </si>
  <si>
    <t>100x100x100</t>
    <phoneticPr fontId="4" type="noConversion"/>
  </si>
  <si>
    <t>터파기</t>
    <phoneticPr fontId="4" type="noConversion"/>
  </si>
  <si>
    <t>되메우기+다짐</t>
    <phoneticPr fontId="4" type="noConversion"/>
  </si>
  <si>
    <t>m3</t>
    <phoneticPr fontId="4" type="noConversion"/>
  </si>
  <si>
    <t>벽관통구멍파기</t>
    <phoneticPr fontId="4" type="noConversion"/>
  </si>
  <si>
    <t>구경:50mm, 두께:150mm이하</t>
    <phoneticPr fontId="4" type="noConversion"/>
  </si>
  <si>
    <t>특별인부</t>
    <phoneticPr fontId="4" type="noConversion"/>
  </si>
  <si>
    <t>전품5-29-1</t>
    <phoneticPr fontId="29" type="noConversion"/>
  </si>
  <si>
    <t>전품4-31</t>
    <phoneticPr fontId="29" type="noConversion"/>
  </si>
  <si>
    <t>전품4-45</t>
    <phoneticPr fontId="29" type="noConversion"/>
  </si>
  <si>
    <t>면</t>
    <phoneticPr fontId="49" type="noConversion"/>
  </si>
  <si>
    <t>태양광발전설비</t>
    <phoneticPr fontId="4" type="noConversion"/>
  </si>
  <si>
    <t>■기계실</t>
    <phoneticPr fontId="4" type="noConversion"/>
  </si>
  <si>
    <t>MCC-F</t>
    <phoneticPr fontId="4" type="noConversion"/>
  </si>
  <si>
    <t>F1</t>
    <phoneticPr fontId="4" type="noConversion"/>
  </si>
  <si>
    <t>동력배관지지가대</t>
  </si>
  <si>
    <t xml:space="preserve">10. 가설전기설비공사 </t>
    <phoneticPr fontId="4" type="noConversion"/>
  </si>
  <si>
    <t>기존접지선철거</t>
    <phoneticPr fontId="4" type="noConversion"/>
  </si>
  <si>
    <t>기존케이블철거</t>
    <phoneticPr fontId="4" type="noConversion"/>
  </si>
  <si>
    <t>돌봄교실(600Wx600Hx200D)</t>
  </si>
  <si>
    <t>일반방수 22C</t>
    <phoneticPr fontId="4" type="noConversion"/>
  </si>
  <si>
    <t>AL DUCT</t>
    <phoneticPr fontId="49" type="noConversion"/>
  </si>
  <si>
    <t>2-306</t>
    <phoneticPr fontId="49" type="noConversion"/>
  </si>
  <si>
    <t>W:50xH:35</t>
    <phoneticPr fontId="49" type="noConversion"/>
  </si>
  <si>
    <t>기존경질비닐전선관철거</t>
    <phoneticPr fontId="4" type="noConversion"/>
  </si>
  <si>
    <t>기존1종금속가요전선관철거</t>
    <phoneticPr fontId="4" type="noConversion"/>
  </si>
  <si>
    <t>기존분전반철거</t>
    <phoneticPr fontId="4" type="noConversion"/>
  </si>
  <si>
    <t>토공</t>
  </si>
  <si>
    <t>터파기 및 되메우기</t>
  </si>
  <si>
    <t xml:space="preserve">1. 전기인입설비공사 </t>
    <phoneticPr fontId="4" type="noConversion"/>
  </si>
  <si>
    <t>되메우기+다짐</t>
  </si>
  <si>
    <t>보통인부</t>
    <phoneticPr fontId="11" type="noConversion"/>
  </si>
  <si>
    <t>공구손료</t>
    <phoneticPr fontId="4" type="noConversion"/>
  </si>
  <si>
    <t>노무비의 3%</t>
    <phoneticPr fontId="11" type="noConversion"/>
  </si>
  <si>
    <t>1000x1000x1000</t>
  </si>
  <si>
    <t>비계공</t>
  </si>
  <si>
    <t>작업반장</t>
  </si>
  <si>
    <t>줄눈공</t>
  </si>
  <si>
    <t>FR-8 3/C 10㎟</t>
    <phoneticPr fontId="4" type="noConversion"/>
  </si>
  <si>
    <t>F-GV 10㎟</t>
    <phoneticPr fontId="4" type="noConversion"/>
  </si>
  <si>
    <t>아연도 36C</t>
  </si>
  <si>
    <t>아연도 36C</t>
    <phoneticPr fontId="4" type="noConversion"/>
  </si>
  <si>
    <t>F2</t>
    <phoneticPr fontId="4" type="noConversion"/>
  </si>
  <si>
    <t>F3</t>
    <phoneticPr fontId="4" type="noConversion"/>
  </si>
  <si>
    <t>FR-8 3/C 4㎟</t>
    <phoneticPr fontId="4" type="noConversion"/>
  </si>
  <si>
    <t>F-GV 4㎟</t>
    <phoneticPr fontId="4" type="noConversion"/>
  </si>
  <si>
    <t>아연도 28C</t>
    <phoneticPr fontId="4" type="noConversion"/>
  </si>
  <si>
    <t>FR-8 2/C 4㎟</t>
    <phoneticPr fontId="4" type="noConversion"/>
  </si>
  <si>
    <t>F-CV 4/C 4㎟</t>
    <phoneticPr fontId="4" type="noConversion"/>
  </si>
  <si>
    <t>아연도 22C</t>
    <phoneticPr fontId="4" type="noConversion"/>
  </si>
  <si>
    <t>F-CV 3/C 2.5㎟</t>
    <phoneticPr fontId="4" type="noConversion"/>
  </si>
  <si>
    <t>F-GV 2.5㎟</t>
    <phoneticPr fontId="4" type="noConversion"/>
  </si>
  <si>
    <t>L/S</t>
    <phoneticPr fontId="4" type="noConversion"/>
  </si>
  <si>
    <t>F-CVV 5/C 1.5㎟</t>
    <phoneticPr fontId="4" type="noConversion"/>
  </si>
  <si>
    <t>아연도 22C</t>
    <phoneticPr fontId="4" type="noConversion"/>
  </si>
  <si>
    <t>기계실</t>
    <phoneticPr fontId="4" type="noConversion"/>
  </si>
  <si>
    <t>150x150x100</t>
    <phoneticPr fontId="4" type="noConversion"/>
  </si>
  <si>
    <t>22C</t>
    <phoneticPr fontId="4" type="noConversion"/>
  </si>
  <si>
    <t>28C</t>
    <phoneticPr fontId="4" type="noConversion"/>
  </si>
  <si>
    <t>전품5-1</t>
    <phoneticPr fontId="29" type="noConversion"/>
  </si>
  <si>
    <t>전품3-38</t>
    <phoneticPr fontId="29" type="noConversion"/>
  </si>
  <si>
    <t>전품5-13</t>
    <phoneticPr fontId="29" type="noConversion"/>
  </si>
  <si>
    <t>0.6/1KV내화케이블</t>
    <phoneticPr fontId="4" type="noConversion"/>
  </si>
  <si>
    <t>전극봉식, 5극</t>
  </si>
  <si>
    <t>일반방수 36C</t>
    <phoneticPr fontId="4" type="noConversion"/>
  </si>
  <si>
    <t>일반방수 36C</t>
    <phoneticPr fontId="4" type="noConversion"/>
  </si>
  <si>
    <t>일반방수 28C</t>
    <phoneticPr fontId="4" type="noConversion"/>
  </si>
  <si>
    <t>W.H.M</t>
    <phoneticPr fontId="4" type="noConversion"/>
  </si>
  <si>
    <t>L-4</t>
    <phoneticPr fontId="4" type="noConversion"/>
  </si>
  <si>
    <t>F-GV 16㎟</t>
    <phoneticPr fontId="4" type="noConversion"/>
  </si>
  <si>
    <t>F-CV 4/C 6㎟</t>
    <phoneticPr fontId="4" type="noConversion"/>
  </si>
  <si>
    <t>주물10Φ x 150</t>
  </si>
  <si>
    <t>보통인부</t>
    <phoneticPr fontId="4" type="noConversion"/>
  </si>
  <si>
    <t>전기공사산업기사</t>
    <phoneticPr fontId="4" type="noConversion"/>
  </si>
  <si>
    <t>아연도 3/8"</t>
    <phoneticPr fontId="4" type="noConversion"/>
  </si>
  <si>
    <t>SHANK BOLT NUT</t>
    <phoneticPr fontId="4" type="noConversion"/>
  </si>
  <si>
    <t>L-1</t>
  </si>
  <si>
    <t>CD 16C</t>
    <phoneticPr fontId="4" type="noConversion"/>
  </si>
  <si>
    <t>CD 22C</t>
    <phoneticPr fontId="4" type="noConversion"/>
  </si>
  <si>
    <t>F-CV 2/C 4㎟</t>
    <phoneticPr fontId="4" type="noConversion"/>
  </si>
  <si>
    <t>일반방수 36C</t>
    <phoneticPr fontId="4" type="noConversion"/>
  </si>
  <si>
    <t>일반방수 42C</t>
    <phoneticPr fontId="4" type="noConversion"/>
  </si>
  <si>
    <t xml:space="preserve">9. 태양광발전설비공사 </t>
    <phoneticPr fontId="4" type="noConversion"/>
  </si>
  <si>
    <t>F-CV 2/C 16㎟</t>
    <phoneticPr fontId="4" type="noConversion"/>
  </si>
  <si>
    <t>일반방수 42C</t>
    <phoneticPr fontId="4" type="noConversion"/>
  </si>
  <si>
    <t>[1]+1.5+0.5+1.5+[1]</t>
    <phoneticPr fontId="4" type="noConversion"/>
  </si>
  <si>
    <t>F-CV 4/C 16㎟</t>
    <phoneticPr fontId="4" type="noConversion"/>
  </si>
  <si>
    <t>HI 36C</t>
    <phoneticPr fontId="4" type="noConversion"/>
  </si>
  <si>
    <t>[1]+[2.5+30.5+1.5+1+3.6+3.6+3.6]+0.5+3+7+2.5+1</t>
    <phoneticPr fontId="4" type="noConversion"/>
  </si>
  <si>
    <t>1+2+1.5+[1]</t>
    <phoneticPr fontId="4" type="noConversion"/>
  </si>
  <si>
    <t>[1]+2.1+1+3+7+2.5+1</t>
    <phoneticPr fontId="4" type="noConversion"/>
  </si>
  <si>
    <t>2+1.5+[1]</t>
    <phoneticPr fontId="4" type="noConversion"/>
  </si>
  <si>
    <t>일반방수 16C</t>
    <phoneticPr fontId="4" type="noConversion"/>
  </si>
  <si>
    <t>CAT-6 4P</t>
    <phoneticPr fontId="4" type="noConversion"/>
  </si>
  <si>
    <t>[1]+1.5+2+1</t>
    <phoneticPr fontId="4" type="noConversion"/>
  </si>
  <si>
    <t>1+2.5+7+3+2+[3.6+3.6+3.6]+1.5+3+21+2+3.2</t>
    <phoneticPr fontId="4" type="noConversion"/>
  </si>
  <si>
    <t>F-CV 2/C 16㎟</t>
    <phoneticPr fontId="4" type="noConversion"/>
  </si>
  <si>
    <t>전품5-4</t>
    <phoneticPr fontId="29" type="noConversion"/>
  </si>
  <si>
    <t>전품5-13</t>
    <phoneticPr fontId="29" type="noConversion"/>
  </si>
  <si>
    <t>200x200x100</t>
    <phoneticPr fontId="4" type="noConversion"/>
  </si>
  <si>
    <t>8.5KW</t>
    <phoneticPr fontId="4" type="noConversion"/>
  </si>
  <si>
    <t>36C 방수</t>
    <phoneticPr fontId="4" type="noConversion"/>
  </si>
  <si>
    <t>42C 방수</t>
    <phoneticPr fontId="4" type="noConversion"/>
  </si>
  <si>
    <t>16C 방수</t>
    <phoneticPr fontId="4" type="noConversion"/>
  </si>
  <si>
    <t>2. 조명기구 구입</t>
    <phoneticPr fontId="4" type="noConversion"/>
  </si>
  <si>
    <t>OL1,2</t>
  </si>
  <si>
    <t>단독접지</t>
  </si>
  <si>
    <t>2. 외등설비공사</t>
    <phoneticPr fontId="4" type="noConversion"/>
  </si>
  <si>
    <t>14Φx1000㎜</t>
  </si>
  <si>
    <t>전기공사산업기사</t>
    <phoneticPr fontId="4" type="noConversion"/>
  </si>
  <si>
    <t>합성수지가요전선관(난연)</t>
    <phoneticPr fontId="4" type="noConversion"/>
  </si>
  <si>
    <t>전품4-31</t>
    <phoneticPr fontId="29" type="noConversion"/>
  </si>
  <si>
    <t>전품5-4</t>
    <phoneticPr fontId="29" type="noConversion"/>
  </si>
  <si>
    <t>2HOLE 150㎟</t>
    <phoneticPr fontId="49" type="noConversion"/>
  </si>
  <si>
    <t>사용전검사비(수용설비/저압)</t>
    <phoneticPr fontId="4" type="noConversion"/>
  </si>
  <si>
    <t>TEST봉</t>
    <phoneticPr fontId="4" type="noConversion"/>
  </si>
  <si>
    <t>접지단자함</t>
  </si>
  <si>
    <t>14Φ x 1000</t>
    <phoneticPr fontId="4" type="noConversion"/>
  </si>
  <si>
    <t>보안등 LED 50W</t>
    <phoneticPr fontId="4" type="noConversion"/>
  </si>
  <si>
    <t>접지</t>
    <phoneticPr fontId="4" type="noConversion"/>
  </si>
  <si>
    <t>전품5-1</t>
    <phoneticPr fontId="4" type="noConversion"/>
  </si>
  <si>
    <t>전품3-38</t>
    <phoneticPr fontId="4" type="noConversion"/>
  </si>
  <si>
    <t>EA</t>
    <phoneticPr fontId="4" type="noConversion"/>
  </si>
  <si>
    <t>포</t>
    <phoneticPr fontId="4" type="noConversion"/>
  </si>
  <si>
    <t>전품5-19</t>
    <phoneticPr fontId="29" type="noConversion"/>
  </si>
  <si>
    <t>외등기초</t>
    <phoneticPr fontId="4" type="noConversion"/>
  </si>
  <si>
    <t>500x700x800</t>
    <phoneticPr fontId="4" type="noConversion"/>
  </si>
  <si>
    <t>2-413</t>
    <phoneticPr fontId="49" type="noConversion"/>
  </si>
  <si>
    <t>1-730</t>
    <phoneticPr fontId="49" type="noConversion"/>
  </si>
  <si>
    <t>산업안전보건관리비</t>
    <phoneticPr fontId="4" type="noConversion"/>
  </si>
  <si>
    <t>설계자</t>
    <phoneticPr fontId="4" type="noConversion"/>
  </si>
  <si>
    <t>심사자</t>
    <phoneticPr fontId="4" type="noConversion"/>
  </si>
  <si>
    <t>팀장</t>
    <phoneticPr fontId="4" type="noConversion"/>
  </si>
  <si>
    <t>과장</t>
    <phoneticPr fontId="4" type="noConversion"/>
  </si>
  <si>
    <t>FR-CN-C0-W 1/C 60㎟</t>
    <phoneticPr fontId="4" type="noConversion"/>
  </si>
  <si>
    <t>22.9KV FR-CN-CO-W CABLE</t>
    <phoneticPr fontId="4" type="noConversion"/>
  </si>
  <si>
    <t>조명기구(TYPE-OL-1)</t>
    <phoneticPr fontId="4" type="noConversion"/>
  </si>
  <si>
    <t>■조리실</t>
    <phoneticPr fontId="4" type="noConversion"/>
  </si>
  <si>
    <t>{(재료+직노)*비율}*1.2</t>
    <phoneticPr fontId="4" type="noConversion"/>
  </si>
  <si>
    <t>F-CV 2/C 6㎟</t>
    <phoneticPr fontId="4" type="noConversion"/>
  </si>
  <si>
    <t>F-GV 6㎟</t>
    <phoneticPr fontId="4" type="noConversion"/>
  </si>
  <si>
    <t>ELP 40Φ</t>
    <phoneticPr fontId="4" type="noConversion"/>
  </si>
  <si>
    <t>29+53+37</t>
    <phoneticPr fontId="4" type="noConversion"/>
  </si>
  <si>
    <t>22+3+38+52+18+20+22+33+23+14+7+22+1.5+[1]</t>
    <phoneticPr fontId="4" type="noConversion"/>
  </si>
  <si>
    <t>(1.2x1)+[1.2x2]+[2.8*8]+5.5</t>
    <phoneticPr fontId="4" type="noConversion"/>
  </si>
  <si>
    <t>1.5x8</t>
    <phoneticPr fontId="4" type="noConversion"/>
  </si>
  <si>
    <t>기존 외등 이전설치</t>
    <phoneticPr fontId="4" type="noConversion"/>
  </si>
  <si>
    <t>전품5-27</t>
    <phoneticPr fontId="29" type="noConversion"/>
  </si>
  <si>
    <t>기존 외등 철거</t>
    <phoneticPr fontId="4" type="noConversion"/>
  </si>
  <si>
    <t>보안등 MHL 175W</t>
    <phoneticPr fontId="4" type="noConversion"/>
  </si>
  <si>
    <t>기존 변압기 고재처리</t>
    <phoneticPr fontId="4" type="noConversion"/>
  </si>
  <si>
    <t>300kVA(OIL TYPE)</t>
    <phoneticPr fontId="4" type="noConversion"/>
  </si>
  <si>
    <t>변압기 300KVA</t>
    <phoneticPr fontId="4" type="noConversion"/>
  </si>
  <si>
    <t>PCBs 검사 비용</t>
    <phoneticPr fontId="4" type="noConversion"/>
  </si>
  <si>
    <t>MOF</t>
    <phoneticPr fontId="4" type="noConversion"/>
  </si>
  <si>
    <t>PCBs 검사 시료채취 비용</t>
    <phoneticPr fontId="4" type="noConversion"/>
  </si>
  <si>
    <t>F-CVV-SB 3/C 2.5㎟</t>
    <phoneticPr fontId="49" type="noConversion"/>
  </si>
  <si>
    <t>[1+2.5+1+2.5+4]+3+2.5</t>
    <phoneticPr fontId="4" type="noConversion"/>
  </si>
  <si>
    <t>[1+2.5+1+2.5+4]+3.5</t>
    <phoneticPr fontId="4" type="noConversion"/>
  </si>
  <si>
    <t>[1+2.5+1+2.5+4]+1</t>
    <phoneticPr fontId="4" type="noConversion"/>
  </si>
  <si>
    <t>F4</t>
    <phoneticPr fontId="4" type="noConversion"/>
  </si>
  <si>
    <t>[1+2.5+1+2.5+3]+2+2.5+[1]</t>
    <phoneticPr fontId="4" type="noConversion"/>
  </si>
  <si>
    <t>F5</t>
    <phoneticPr fontId="4" type="noConversion"/>
  </si>
  <si>
    <t>[1+2.5+1+2.5+5+3.5]+2+3.5</t>
    <phoneticPr fontId="4" type="noConversion"/>
  </si>
  <si>
    <t>F6</t>
    <phoneticPr fontId="4" type="noConversion"/>
  </si>
  <si>
    <t>[1+2.5+1+2.5]+8</t>
    <phoneticPr fontId="4" type="noConversion"/>
  </si>
  <si>
    <t>F7</t>
    <phoneticPr fontId="4" type="noConversion"/>
  </si>
  <si>
    <t>[1+2.5+1+2.5]+5.5</t>
    <phoneticPr fontId="4" type="noConversion"/>
  </si>
  <si>
    <t>F8</t>
    <phoneticPr fontId="4" type="noConversion"/>
  </si>
  <si>
    <t>[1+2.5+1+2.5+1]+3+3.6+[1+2.5+1+2.5+5]+1+2.5+3.6+[1+2.5+1+2.5+2.5]+10+3.5+3.6</t>
    <phoneticPr fontId="4" type="noConversion"/>
  </si>
  <si>
    <t xml:space="preserve">3. 기계실,조리실 동력간선설비공사 </t>
    <phoneticPr fontId="4" type="noConversion"/>
  </si>
  <si>
    <t>R1</t>
    <phoneticPr fontId="4" type="noConversion"/>
  </si>
  <si>
    <t>CD 16C</t>
    <phoneticPr fontId="4" type="noConversion"/>
  </si>
  <si>
    <t>[1]+1.5+1+14+2+2.5+0.4*3</t>
    <phoneticPr fontId="4" type="noConversion"/>
  </si>
  <si>
    <t>R2</t>
    <phoneticPr fontId="4" type="noConversion"/>
  </si>
  <si>
    <t>[1]+1.5+1+2.5+1+2+0.4*5</t>
    <phoneticPr fontId="4" type="noConversion"/>
  </si>
  <si>
    <t>R3</t>
    <phoneticPr fontId="4" type="noConversion"/>
  </si>
  <si>
    <t>R4</t>
    <phoneticPr fontId="4" type="noConversion"/>
  </si>
  <si>
    <t>[1]+1.5+1+1.5+1+0.4*3</t>
    <phoneticPr fontId="4" type="noConversion"/>
  </si>
  <si>
    <t>[1]+1.5+1+1.5+0.4*3</t>
    <phoneticPr fontId="4" type="noConversion"/>
  </si>
  <si>
    <t>R5</t>
    <phoneticPr fontId="4" type="noConversion"/>
  </si>
  <si>
    <t>R6</t>
    <phoneticPr fontId="4" type="noConversion"/>
  </si>
  <si>
    <t>R7</t>
    <phoneticPr fontId="4" type="noConversion"/>
  </si>
  <si>
    <t>R8</t>
    <phoneticPr fontId="4" type="noConversion"/>
  </si>
  <si>
    <t>[1]+1.5+1+1.5+0.4</t>
    <phoneticPr fontId="4" type="noConversion"/>
  </si>
  <si>
    <t>[1]+1.5+5+7+2+0.4*3</t>
    <phoneticPr fontId="4" type="noConversion"/>
  </si>
  <si>
    <t>[1]+1.5+5+7.5+0.4</t>
    <phoneticPr fontId="4" type="noConversion"/>
  </si>
  <si>
    <t>[1]+1.5+1+7.5+2+0.4*3</t>
    <phoneticPr fontId="4" type="noConversion"/>
  </si>
  <si>
    <t>A</t>
    <phoneticPr fontId="4" type="noConversion"/>
  </si>
  <si>
    <t>CD 28C</t>
    <phoneticPr fontId="4" type="noConversion"/>
  </si>
  <si>
    <t>[1]+1.5+2+14+0.6+[1]</t>
    <phoneticPr fontId="4" type="noConversion"/>
  </si>
  <si>
    <t>상시</t>
    <phoneticPr fontId="4" type="noConversion"/>
  </si>
  <si>
    <t>일반</t>
    <phoneticPr fontId="4" type="noConversion"/>
  </si>
  <si>
    <t>a</t>
    <phoneticPr fontId="4" type="noConversion"/>
  </si>
  <si>
    <t>[1]+1.5+7.5+3.5+0.5+[2]</t>
    <phoneticPr fontId="4" type="noConversion"/>
  </si>
  <si>
    <t>b</t>
    <phoneticPr fontId="4" type="noConversion"/>
  </si>
  <si>
    <t>[1]+5.5+2+0.5+[2]</t>
    <phoneticPr fontId="4" type="noConversion"/>
  </si>
  <si>
    <t>c</t>
    <phoneticPr fontId="4" type="noConversion"/>
  </si>
  <si>
    <t>r2</t>
    <phoneticPr fontId="4" type="noConversion"/>
  </si>
  <si>
    <t>r3</t>
    <phoneticPr fontId="4" type="noConversion"/>
  </si>
  <si>
    <t>r4</t>
    <phoneticPr fontId="4" type="noConversion"/>
  </si>
  <si>
    <t>r5</t>
    <phoneticPr fontId="4" type="noConversion"/>
  </si>
  <si>
    <t>r6</t>
    <phoneticPr fontId="4" type="noConversion"/>
  </si>
  <si>
    <t>r7</t>
    <phoneticPr fontId="4" type="noConversion"/>
  </si>
  <si>
    <t>r1</t>
    <phoneticPr fontId="4" type="noConversion"/>
  </si>
  <si>
    <t>[1]+2.1+18+1+2.5+1.5*3</t>
    <phoneticPr fontId="4" type="noConversion"/>
  </si>
  <si>
    <t>[1]+1.5+18+3+0.4</t>
    <phoneticPr fontId="4" type="noConversion"/>
  </si>
  <si>
    <t>[1]+1.5+5+4.5+1+0.4*3</t>
    <phoneticPr fontId="4" type="noConversion"/>
  </si>
  <si>
    <t>[1]+2.1+2+4+3.5+2.5+2.5</t>
    <phoneticPr fontId="4" type="noConversion"/>
  </si>
  <si>
    <t>2.5*4</t>
    <phoneticPr fontId="4" type="noConversion"/>
  </si>
  <si>
    <t>[1]+1.5+7+4+0.4*3</t>
    <phoneticPr fontId="4" type="noConversion"/>
  </si>
  <si>
    <t>[1]+1.5+2+1+1.5+1.5+0.4*3</t>
    <phoneticPr fontId="4" type="noConversion"/>
  </si>
  <si>
    <t>[1]+1.5+1+0.4</t>
    <phoneticPr fontId="4" type="noConversion"/>
  </si>
  <si>
    <t>[1]+1.5+1+0.4*3</t>
    <phoneticPr fontId="4" type="noConversion"/>
  </si>
  <si>
    <t>[1]+1.5+4+3.5+2+2+0.4*5</t>
    <phoneticPr fontId="4" type="noConversion"/>
  </si>
  <si>
    <t>[1]+1.5+4+6+0.4</t>
    <phoneticPr fontId="4" type="noConversion"/>
  </si>
  <si>
    <t>r8</t>
    <phoneticPr fontId="4" type="noConversion"/>
  </si>
  <si>
    <t>r9</t>
    <phoneticPr fontId="4" type="noConversion"/>
  </si>
  <si>
    <t>r10</t>
    <phoneticPr fontId="4" type="noConversion"/>
  </si>
  <si>
    <t>[1]+2.1+6+2</t>
    <phoneticPr fontId="4" type="noConversion"/>
  </si>
  <si>
    <t>[1]+2.1+5+2</t>
    <phoneticPr fontId="4" type="noConversion"/>
  </si>
  <si>
    <t>[1]+2.1+6+8+3.6*3</t>
    <phoneticPr fontId="4" type="noConversion"/>
  </si>
  <si>
    <t>[1]+2.1+4+8+3.6*3</t>
    <phoneticPr fontId="4" type="noConversion"/>
  </si>
  <si>
    <t>가스</t>
    <phoneticPr fontId="4" type="noConversion"/>
  </si>
  <si>
    <t>HFIX 1.5㎟</t>
    <phoneticPr fontId="4" type="noConversion"/>
  </si>
  <si>
    <t>[1]+2.1+7.5+1.5+[1]</t>
    <phoneticPr fontId="4" type="noConversion"/>
  </si>
  <si>
    <t>B</t>
    <phoneticPr fontId="4" type="noConversion"/>
  </si>
  <si>
    <t>[1]+2.1+4+4+[1]+[1]+2.1+6.5+3.5+[1]+[1]+2.1+7+2+[1]</t>
    <phoneticPr fontId="4" type="noConversion"/>
  </si>
  <si>
    <t>아연도 54C</t>
    <phoneticPr fontId="4" type="noConversion"/>
  </si>
  <si>
    <t>54C</t>
    <phoneticPr fontId="4" type="noConversion"/>
  </si>
  <si>
    <t>급식실-상시</t>
    <phoneticPr fontId="4" type="noConversion"/>
  </si>
  <si>
    <t>급식실-일반</t>
    <phoneticPr fontId="4" type="noConversion"/>
  </si>
  <si>
    <t>가스</t>
    <phoneticPr fontId="4" type="noConversion"/>
  </si>
  <si>
    <t>강제전선관</t>
    <phoneticPr fontId="4" type="noConversion"/>
  </si>
  <si>
    <t>HOR,ELBOW</t>
    <phoneticPr fontId="4" type="noConversion"/>
  </si>
  <si>
    <t>W300 x H100 x 2.3T</t>
    <phoneticPr fontId="4" type="noConversion"/>
  </si>
  <si>
    <t>HOR,TEE</t>
    <phoneticPr fontId="4" type="noConversion"/>
  </si>
  <si>
    <t>W500 x H100 x 2.3T</t>
    <phoneticPr fontId="4" type="noConversion"/>
  </si>
  <si>
    <t>VER,ELBOW</t>
    <phoneticPr fontId="4" type="noConversion"/>
  </si>
  <si>
    <t>0.6/1KV난연제어케이블</t>
    <phoneticPr fontId="49" type="noConversion"/>
  </si>
  <si>
    <t>삼로스위치(WIDE)</t>
    <phoneticPr fontId="49" type="noConversion"/>
  </si>
  <si>
    <t>15A 250V 3구</t>
    <phoneticPr fontId="49" type="noConversion"/>
  </si>
  <si>
    <t>O/L 4각(2개용)</t>
    <phoneticPr fontId="11" type="noConversion"/>
  </si>
  <si>
    <t xml:space="preserve">11. 피뢰설비공사 </t>
    <phoneticPr fontId="4" type="noConversion"/>
  </si>
  <si>
    <t>7CCT</t>
    <phoneticPr fontId="4" type="noConversion"/>
  </si>
  <si>
    <t>[1]+1.5+2+5</t>
    <phoneticPr fontId="4" type="noConversion"/>
  </si>
  <si>
    <t>BC 70㎟</t>
    <phoneticPr fontId="4" type="noConversion"/>
  </si>
  <si>
    <t>3*8</t>
    <phoneticPr fontId="4" type="noConversion"/>
  </si>
  <si>
    <t>전선</t>
    <phoneticPr fontId="4" type="noConversion"/>
  </si>
  <si>
    <t>BC 70㎟</t>
    <phoneticPr fontId="4" type="noConversion"/>
  </si>
  <si>
    <t>접지저감제</t>
    <phoneticPr fontId="4" type="noConversion"/>
  </si>
  <si>
    <t>SUS접지모듈</t>
    <phoneticPr fontId="4" type="noConversion"/>
  </si>
  <si>
    <t>(29+53+37+22+3+38+52+18+20+22+33+23+14+7+22+10)x((0.4+0.6)x0.6x0.5)</t>
    <phoneticPr fontId="4" type="noConversion"/>
  </si>
  <si>
    <t>29+53+37+22+3+38+52+18+20+22+33+23+14+7+22+10</t>
    <phoneticPr fontId="4" type="noConversion"/>
  </si>
  <si>
    <t xml:space="preserve">2. 전기간선설비공사 </t>
    <phoneticPr fontId="4" type="noConversion"/>
  </si>
  <si>
    <t>전품5-11</t>
    <phoneticPr fontId="29" type="noConversion"/>
  </si>
  <si>
    <t>■간선</t>
    <phoneticPr fontId="4" type="noConversion"/>
  </si>
  <si>
    <t>아연도 104C</t>
    <phoneticPr fontId="4" type="noConversion"/>
  </si>
  <si>
    <t>FR-8 4/C 35㎟</t>
    <phoneticPr fontId="4" type="noConversion"/>
  </si>
  <si>
    <t>0.6/1KV내화케이블</t>
    <phoneticPr fontId="4" type="noConversion"/>
  </si>
  <si>
    <t>FR-8 1/C 50㎟</t>
    <phoneticPr fontId="49" type="noConversion"/>
  </si>
  <si>
    <t>104C</t>
    <phoneticPr fontId="4" type="noConversion"/>
  </si>
  <si>
    <t>104C</t>
    <phoneticPr fontId="4" type="noConversion"/>
  </si>
  <si>
    <t>저압케이블공</t>
  </si>
  <si>
    <t>고압케이블공</t>
  </si>
  <si>
    <t>보통인부</t>
  </si>
  <si>
    <t>광케이블설치사</t>
  </si>
  <si>
    <t>통신내선공</t>
  </si>
  <si>
    <t>통신설비공</t>
  </si>
  <si>
    <t>통신케이블공</t>
  </si>
  <si>
    <t>통신관련기사</t>
  </si>
  <si>
    <t>통신관련산업기사</t>
  </si>
  <si>
    <t>H/W시험사</t>
  </si>
  <si>
    <t>통신외선공</t>
  </si>
  <si>
    <t>콘크리트공</t>
  </si>
  <si>
    <t>무선안테나공</t>
  </si>
  <si>
    <t>형틀목공</t>
  </si>
  <si>
    <t>배전전공</t>
  </si>
  <si>
    <t>특고압케이블공</t>
  </si>
  <si>
    <t>변전전공</t>
  </si>
  <si>
    <t>포장공</t>
  </si>
  <si>
    <t>플랜트전공</t>
  </si>
  <si>
    <t>전기공사산업기사</t>
  </si>
  <si>
    <t>보링공</t>
  </si>
  <si>
    <t>전기공사기사</t>
  </si>
  <si>
    <t>철근공</t>
  </si>
  <si>
    <t>플랜트기계설치공</t>
  </si>
  <si>
    <t>인력운반공</t>
  </si>
  <si>
    <t>O/L 4각</t>
    <phoneticPr fontId="4" type="noConversion"/>
  </si>
  <si>
    <t>FR-8 3/C 16㎟</t>
    <phoneticPr fontId="4" type="noConversion"/>
  </si>
  <si>
    <t>F-CVV 5/C 1.5㎟</t>
    <phoneticPr fontId="49" type="noConversion"/>
  </si>
  <si>
    <t>CAT-6 4P</t>
    <phoneticPr fontId="49" type="noConversion"/>
  </si>
  <si>
    <t>아연도 70C</t>
    <phoneticPr fontId="4" type="noConversion"/>
  </si>
  <si>
    <t>70C</t>
    <phoneticPr fontId="4" type="noConversion"/>
  </si>
  <si>
    <t>W150 x H100 x 2.3T</t>
    <phoneticPr fontId="4" type="noConversion"/>
  </si>
  <si>
    <t>300x300x200</t>
    <phoneticPr fontId="4" type="noConversion"/>
  </si>
  <si>
    <t>COVER, W:150xH:100</t>
  </si>
  <si>
    <t>W:300xH:100</t>
    <phoneticPr fontId="49" type="noConversion"/>
  </si>
  <si>
    <t>2HOLE 185㎟</t>
    <phoneticPr fontId="4" type="noConversion"/>
  </si>
  <si>
    <t>RACE WAY지지대</t>
  </si>
  <si>
    <t>A형, 70x40</t>
  </si>
  <si>
    <t>맨홀뚜껑(주철)648Φ</t>
  </si>
  <si>
    <t>전기맨홀1000x1000x1000</t>
  </si>
  <si>
    <t>수평도체</t>
  </si>
  <si>
    <t>Expansion Joint</t>
  </si>
  <si>
    <t>도선지지금구</t>
  </si>
  <si>
    <t>연결콘넥터(볼트조임형)</t>
  </si>
  <si>
    <t>칼블럭(지지금구 고정)</t>
  </si>
  <si>
    <t>S2피뢰침</t>
  </si>
  <si>
    <t>구조체접속</t>
  </si>
  <si>
    <t>그라운드 패드</t>
  </si>
  <si>
    <t>이질슬리브</t>
  </si>
  <si>
    <t>번디클램프</t>
  </si>
  <si>
    <t>알루미늄 8mm</t>
  </si>
  <si>
    <t>이완수축방지용(편조형)</t>
  </si>
  <si>
    <t>S1 (알루미늄)</t>
  </si>
  <si>
    <t>ㅡ,+ (알루미늄)</t>
  </si>
  <si>
    <t>지지금구 * 2</t>
  </si>
  <si>
    <t>1M(알루미늄)</t>
  </si>
  <si>
    <t>철근클램프</t>
  </si>
  <si>
    <t>철근콘크리트 내 죔쇠접속</t>
  </si>
  <si>
    <t>F-GV 50㎟</t>
    <phoneticPr fontId="4" type="noConversion"/>
  </si>
  <si>
    <t>-</t>
    <phoneticPr fontId="4" type="noConversion"/>
  </si>
  <si>
    <t>C형 슬리브</t>
  </si>
  <si>
    <t>70SQ</t>
  </si>
  <si>
    <t>SUS접지모듈(SGM-1200)</t>
  </si>
  <si>
    <t>(100×100×1200)</t>
  </si>
  <si>
    <t>접지저감재</t>
  </si>
  <si>
    <t>그린어스 탄소형</t>
  </si>
  <si>
    <t>300L</t>
  </si>
  <si>
    <t>접지단자함</t>
    <phoneticPr fontId="4" type="noConversion"/>
  </si>
  <si>
    <t>3CCT</t>
  </si>
  <si>
    <t>1CCT</t>
  </si>
  <si>
    <t>접지선포설</t>
  </si>
  <si>
    <t>나동선 70SQ</t>
  </si>
  <si>
    <t>{(재료+직노+도급자관급)*비율}</t>
    <phoneticPr fontId="4" type="noConversion"/>
  </si>
  <si>
    <t xml:space="preserve"> 2 0 2 6 년도</t>
    <phoneticPr fontId="4" type="noConversion"/>
  </si>
  <si>
    <t>석면분담금</t>
    <phoneticPr fontId="4" type="noConversion"/>
  </si>
  <si>
    <t>임금채권부담금</t>
    <phoneticPr fontId="4" type="noConversion"/>
  </si>
  <si>
    <t>2026.      4.</t>
    <phoneticPr fontId="4" type="noConversion"/>
  </si>
  <si>
    <t xml:space="preserve"> 2026년     4월     일   설계</t>
    <phoneticPr fontId="4" type="noConversion"/>
  </si>
  <si>
    <t>P2-13</t>
    <phoneticPr fontId="4" type="noConversion"/>
  </si>
  <si>
    <t>P2-14</t>
    <phoneticPr fontId="4" type="noConversion"/>
  </si>
  <si>
    <t>FR-8 1/C 95㎟</t>
    <phoneticPr fontId="4" type="noConversion"/>
  </si>
  <si>
    <t>F-CV 2/C 10㎟</t>
    <phoneticPr fontId="4" type="noConversion"/>
  </si>
  <si>
    <t>FR-8 1/C 240㎟</t>
    <phoneticPr fontId="4" type="noConversion"/>
  </si>
  <si>
    <t>F-GV 120㎟</t>
    <phoneticPr fontId="4" type="noConversion"/>
  </si>
  <si>
    <t>F-CV 1/C 50㎟</t>
    <phoneticPr fontId="4" type="noConversion"/>
  </si>
  <si>
    <t>F-GV 25㎟</t>
    <phoneticPr fontId="4" type="noConversion"/>
  </si>
  <si>
    <t>ATS</t>
    <phoneticPr fontId="4" type="noConversion"/>
  </si>
  <si>
    <t>발전기</t>
    <phoneticPr fontId="4" type="noConversion"/>
  </si>
  <si>
    <t>LV/9</t>
    <phoneticPr fontId="4" type="noConversion"/>
  </si>
  <si>
    <t>접지봉</t>
    <phoneticPr fontId="4" type="noConversion"/>
  </si>
  <si>
    <t>18Φx2400㎜X6EA</t>
  </si>
  <si>
    <t>x (재료비+직노)</t>
    <phoneticPr fontId="4" type="noConversion"/>
  </si>
  <si>
    <t>제3부변전실</t>
    <phoneticPr fontId="4" type="noConversion"/>
  </si>
  <si>
    <t>LV/7</t>
    <phoneticPr fontId="4" type="noConversion"/>
  </si>
  <si>
    <t>FR-8 1/C 50㎟</t>
    <phoneticPr fontId="4" type="noConversion"/>
  </si>
  <si>
    <t>아연도 42C</t>
    <phoneticPr fontId="4" type="noConversion"/>
  </si>
  <si>
    <t>아연도 82C</t>
    <phoneticPr fontId="4" type="noConversion"/>
  </si>
  <si>
    <t>P1-4</t>
    <phoneticPr fontId="4" type="noConversion"/>
  </si>
  <si>
    <t>P1-6</t>
    <phoneticPr fontId="4" type="noConversion"/>
  </si>
  <si>
    <t>FR-8 4/C 16㎟</t>
    <phoneticPr fontId="4" type="noConversion"/>
  </si>
  <si>
    <t>P1-5</t>
    <phoneticPr fontId="4" type="noConversion"/>
  </si>
  <si>
    <t>L1-4A</t>
    <phoneticPr fontId="4" type="noConversion"/>
  </si>
  <si>
    <t>L1-8A</t>
    <phoneticPr fontId="4" type="noConversion"/>
  </si>
  <si>
    <t>L1-11A</t>
    <phoneticPr fontId="4" type="noConversion"/>
  </si>
  <si>
    <t>3+4+[2]</t>
    <phoneticPr fontId="4" type="noConversion"/>
  </si>
  <si>
    <t>1.5+4+[2]</t>
    <phoneticPr fontId="4" type="noConversion"/>
  </si>
  <si>
    <t>82C</t>
    <phoneticPr fontId="4" type="noConversion"/>
  </si>
  <si>
    <t>전품5-19</t>
    <phoneticPr fontId="4" type="noConversion"/>
  </si>
  <si>
    <t>두류지하도상가 비상발전기 설치 전기공사</t>
    <phoneticPr fontId="4" type="noConversion"/>
  </si>
  <si>
    <t>수배전반 개조</t>
    <phoneticPr fontId="4" type="noConversion"/>
  </si>
  <si>
    <t>전기공사 손해배상공제보험료</t>
    <phoneticPr fontId="4" type="noConversion"/>
  </si>
  <si>
    <t>[2.5+2.5+2+3+10+2]+15+3+2*5</t>
    <phoneticPr fontId="4" type="noConversion"/>
  </si>
  <si>
    <t>2P 50AF 40AT</t>
    <phoneticPr fontId="4" type="noConversion"/>
  </si>
  <si>
    <t>W:300xH:100</t>
  </si>
  <si>
    <t>H100</t>
  </si>
  <si>
    <t>SHANK BOLT NUT</t>
  </si>
  <si>
    <t>아연도 3/8"</t>
  </si>
  <si>
    <t>HOLD DOWN CLAMP</t>
  </si>
  <si>
    <t>FR-8 1/C 240㎟</t>
    <phoneticPr fontId="49" type="noConversion"/>
  </si>
  <si>
    <t>FR-8 1/C 95㎟</t>
    <phoneticPr fontId="49" type="noConversion"/>
  </si>
  <si>
    <t>0.6/1KV난연케이블</t>
    <phoneticPr fontId="4" type="noConversion"/>
  </si>
  <si>
    <t>0.6/1KV난연케이블</t>
    <phoneticPr fontId="49" type="noConversion"/>
  </si>
  <si>
    <t>전선관지지행거 설치</t>
    <phoneticPr fontId="4" type="noConversion"/>
  </si>
  <si>
    <t>케이블트레이지지대  설치</t>
    <phoneticPr fontId="4" type="noConversion"/>
  </si>
  <si>
    <t>일위3호표</t>
    <phoneticPr fontId="11" type="noConversion"/>
  </si>
  <si>
    <t>일위6호표</t>
    <phoneticPr fontId="11" type="noConversion"/>
  </si>
  <si>
    <t>일위7호표</t>
    <phoneticPr fontId="11" type="noConversion"/>
  </si>
  <si>
    <t>일위8호표</t>
    <phoneticPr fontId="11" type="noConversion"/>
  </si>
  <si>
    <t>케이블트레이지지대  설치</t>
  </si>
  <si>
    <t>W300</t>
  </si>
  <si>
    <t>달대볼트</t>
  </si>
  <si>
    <t>스트롱앙카</t>
  </si>
  <si>
    <t>9Φ</t>
  </si>
  <si>
    <t>일위9호표</t>
    <phoneticPr fontId="11" type="noConversion"/>
  </si>
  <si>
    <t>전품5-29</t>
    <phoneticPr fontId="4" type="noConversion"/>
  </si>
  <si>
    <t>[2+4+3.5+21+6+23+6+9+10+3+2+2.5+2.5]</t>
    <phoneticPr fontId="4" type="noConversion"/>
  </si>
  <si>
    <t>[1]+4.5+4+5+[2+21+6+23+6+9+10+3+2+2.5+2.5]</t>
    <phoneticPr fontId="4" type="noConversion"/>
  </si>
  <si>
    <t>[1+4+2+19+19+12.5+6+23+6+21+3.5+4+2]</t>
    <phoneticPr fontId="4" type="noConversion"/>
  </si>
  <si>
    <t>수배전반 개조</t>
    <phoneticPr fontId="49" type="noConversion"/>
  </si>
  <si>
    <t>ATS 저압반</t>
    <phoneticPr fontId="49" type="noConversion"/>
  </si>
  <si>
    <t>식</t>
    <phoneticPr fontId="49" type="noConversion"/>
  </si>
  <si>
    <t>3.4/4</t>
    <phoneticPr fontId="4" type="noConversion"/>
  </si>
  <si>
    <t>해설 11??</t>
    <phoneticPr fontId="4" type="noConversion"/>
  </si>
  <si>
    <t>전품5-8-2</t>
    <phoneticPr fontId="4" type="noConversion"/>
  </si>
  <si>
    <t>스트롱앙카</t>
    <phoneticPr fontId="49" type="noConversion"/>
  </si>
  <si>
    <t>9Φx1000mm</t>
    <phoneticPr fontId="4" type="noConversion"/>
  </si>
  <si>
    <t>9Φ</t>
    <phoneticPr fontId="49" type="noConversion"/>
  </si>
  <si>
    <t>EA</t>
    <phoneticPr fontId="49" type="noConversion"/>
  </si>
  <si>
    <t>규         격</t>
  </si>
  <si>
    <t>수  량</t>
  </si>
  <si>
    <t>경 비</t>
  </si>
  <si>
    <t>총 계</t>
  </si>
  <si>
    <t>비 고</t>
  </si>
  <si>
    <t>단가</t>
  </si>
  <si>
    <t>금액</t>
  </si>
  <si>
    <t>■ 관급자 관급자재</t>
  </si>
  <si>
    <t>1. 발전기 제작구입설치</t>
  </si>
  <si>
    <t>합   계</t>
  </si>
  <si>
    <t>발전기제작구입설치</t>
  </si>
  <si>
    <t>450kW</t>
  </si>
  <si>
    <t>소    계</t>
  </si>
  <si>
    <t>조달수수료</t>
  </si>
  <si>
    <t>0.54%</t>
  </si>
  <si>
    <t>백단위절상</t>
  </si>
  <si>
    <t>`</t>
  </si>
  <si>
    <t>조달수수료포함</t>
    <phoneticPr fontId="4" type="noConversion"/>
  </si>
  <si>
    <t>관  급  자  재  비</t>
    <phoneticPr fontId="4" type="noConversion"/>
  </si>
  <si>
    <t xml:space="preserve">  관 급 자 재 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</si>
</sst>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&quot;₩&quot;&quot;₩&quot;&quot;₩&quot;&quot;₩&quot;&quot;₩&quot;&quot;₩&quot;\-#,##0.00"/>
    <numFmt numFmtId="179" formatCode="_-* #,##0.0_-;\-* #,##0.0_-;_-* &quot;-&quot;_-;_-@_-"/>
    <numFmt numFmtId="180" formatCode="\x#,##0"/>
    <numFmt numFmtId="181" formatCode="0.000_);[Red]\(0.000\)"/>
    <numFmt numFmtId="182" formatCode="#,##0;[Red]#,##0"/>
    <numFmt numFmtId="183" formatCode="#,##0.0_);[Red]\(#,##0.0\)"/>
    <numFmt numFmtId="184" formatCode="#,##0_ "/>
    <numFmt numFmtId="185" formatCode="_-* #,##0.0000_-;\-* #,##0.0000_-;_-* &quot;-&quot;_-;_-@_-"/>
    <numFmt numFmtId="186" formatCode="\5\x00%"/>
    <numFmt numFmtId="187" formatCode="&quot;$&quot;#,##0_);[Red]\(&quot;$&quot;#,##0\)"/>
    <numFmt numFmtId="188" formatCode="0.000%"/>
    <numFmt numFmtId="189" formatCode="0,###,000"/>
    <numFmt numFmtId="190" formatCode="#.##"/>
    <numFmt numFmtId="191" formatCode="0.0"/>
    <numFmt numFmtId="192" formatCode="0.0%"/>
    <numFmt numFmtId="193" formatCode="&quot;₩&quot;#,##0"/>
    <numFmt numFmtId="194" formatCode="&quot;제&quot;General&quot;호&quot;&quot;표&quot;"/>
    <numFmt numFmtId="195" formatCode="0.0000_);[Red]\(0.0000\)"/>
    <numFmt numFmtId="196" formatCode="#,##0.00_);[Red]\(#,##0.00\)"/>
    <numFmt numFmtId="197" formatCode="\=General&quot;㎥&quot;"/>
    <numFmt numFmtId="198" formatCode="mm&quot;월&quot;\ dd&quot;일&quot;"/>
    <numFmt numFmtId="199" formatCode="#,##0.0"/>
    <numFmt numFmtId="200" formatCode="\(\5\)*0.0%"/>
    <numFmt numFmtId="201" formatCode="\(\5\)\x0.0%"/>
    <numFmt numFmtId="202" formatCode="\5\x0.0%"/>
    <numFmt numFmtId="203" formatCode="&quot;$&quot;#,##0.00_);\(&quot;$&quot;#,##0.00\)"/>
    <numFmt numFmtId="204" formatCode="_-&quot;₩&quot;* #,##0.00_-;\!\-&quot;₩&quot;* #,##0.00_-;_-&quot;₩&quot;* &quot;-&quot;??_-;_-@_-"/>
    <numFmt numFmtId="205" formatCode="#,##0_);[Red]&quot;₩&quot;\!\-#,##0"/>
    <numFmt numFmtId="206" formatCode="_ * #,##0.0000000000_ ;_ * \-#,##0.0000000000_ ;_ * &quot;-&quot;_ ;_ @_ "/>
    <numFmt numFmtId="207" formatCode="#,##0.000000"/>
    <numFmt numFmtId="208" formatCode="0.00\ \ "/>
    <numFmt numFmtId="209" formatCode="0\ "/>
    <numFmt numFmtId="210" formatCode="_ * #,##0_ \ \ \ \ ;_ * \-#,##0_ ;_ * &quot;-&quot;_ ;_ @_ "/>
    <numFmt numFmtId="211" formatCode="###"/>
    <numFmt numFmtId="212" formatCode="0,###,###"/>
    <numFmt numFmtId="213" formatCode="0.##"/>
    <numFmt numFmtId="214" formatCode="&quot;₩&quot;#,##0;[Red]&quot;₩&quot;&quot;₩&quot;&quot;₩&quot;&quot;₩&quot;&quot;₩&quot;&quot;₩&quot;&quot;₩&quot;&quot;₩&quot;\-#,##0"/>
    <numFmt numFmtId="215" formatCode="_ * #,##0.00_ ;_ * &quot;₩&quot;&quot;₩&quot;&quot;₩&quot;&quot;₩&quot;&quot;₩&quot;&quot;₩&quot;&quot;₩&quot;\-#,##0.00_ ;_ * &quot;-&quot;??_ ;_ @_ "/>
    <numFmt numFmtId="216" formatCode="#,##0.00;[Red]&quot;-&quot;#,##0.00"/>
    <numFmt numFmtId="217" formatCode="0.000"/>
    <numFmt numFmtId="218" formatCode="_(&quot;$&quot;* #,##0_);_(&quot;$&quot;* \(#,##0\);_(&quot;$&quot;* &quot;-&quot;_);_(@_)"/>
    <numFmt numFmtId="219" formatCode="_(&quot;$&quot;* #,##0.00_);_(&quot;$&quot;* \(#,##0.00\);_(&quot;$&quot;* &quot;-&quot;??_);_(@_)"/>
    <numFmt numFmtId="220" formatCode="_ &quot;₩&quot;* #,##0_ ;_ &quot;₩&quot;* \-#,##0_ ;_ &quot;₩&quot;* &quot;-&quot;_ ;_ @_ "/>
    <numFmt numFmtId="221" formatCode="_ &quot;₩&quot;* #,##0.00_ ;_ &quot;₩&quot;* \-#,##0.00_ ;_ &quot;₩&quot;* &quot;-&quot;??_ ;_ @_ "/>
    <numFmt numFmtId="222" formatCode="#."/>
    <numFmt numFmtId="223" formatCode="_-[$€-2]* #,##0.00_-;\-[$€-2]* #,##0.00_-;_-[$€-2]* &quot;-&quot;??_-"/>
    <numFmt numFmtId="224" formatCode="_-* #,##0.00_-;\!\-* #,##0.00_-;_-* &quot;-&quot;??_-;_-@_-"/>
    <numFmt numFmtId="225" formatCode="\!\$#,##0_);\!\(\!\$#,##0\!\)"/>
    <numFmt numFmtId="226" formatCode="\!\$#,##0_);[Red]\!\(\!\$#,##0\!\)"/>
    <numFmt numFmtId="227" formatCode="\!\$#,##0.00_);\!\(\!\$#,##0.00\!\)"/>
    <numFmt numFmtId="228" formatCode="_-* #,##0\ _F_-;\-* #,##0\ _F_-;_-* &quot;-&quot;\ _F_-;_-@_-"/>
    <numFmt numFmtId="229" formatCode="&quot;$&quot;#,##0_);\(&quot;$&quot;#,##0\)"/>
    <numFmt numFmtId="230" formatCode="#,##0&quot;?_);\(#,##0&quot;&quot;?&quot;\)"/>
    <numFmt numFmtId="231" formatCode="#,##0.00&quot;?_);[Red]\(#,##0.00&quot;&quot;?&quot;\)"/>
    <numFmt numFmtId="232" formatCode="General_)"/>
    <numFmt numFmtId="233" formatCode="_ * #,##0.00_)&quot;£&quot;_ ;_ * \(#,##0.00\)&quot;£&quot;_ ;_ * &quot;-&quot;??_)&quot;£&quot;_ ;_ @_ "/>
    <numFmt numFmtId="234" formatCode="_ * #,##0.00_)_£_ ;_ * \(#,##0.00\)_£_ ;_ * &quot;-&quot;??_)_£_ ;_ @_ "/>
    <numFmt numFmtId="235" formatCode="#,##0\ &quot;F&quot;;[Red]\-#,##0\ &quot;F&quot;"/>
    <numFmt numFmtId="236" formatCode="#,##0.00\ &quot;F&quot;;\-#,##0.00\ &quot;F&quot;"/>
    <numFmt numFmtId="237" formatCode="###0.0_);\(###0.0\)"/>
    <numFmt numFmtId="238" formatCode="&quot;$&quot;#,##0.00_);[Red]\(&quot;$&quot;#,##0.00\)"/>
    <numFmt numFmtId="239" formatCode="d\.mmm"/>
    <numFmt numFmtId="240" formatCode="_ * #,##0.00_)\ _$_ ;_ * \(#,##0.00\)\ _$_ ;_ * &quot;-&quot;??_)\ _$_ ;_ @_ "/>
    <numFmt numFmtId="241" formatCode="#,##0&quot;원&quot;"/>
    <numFmt numFmtId="242" formatCode="#,##0&quot;KVA&quot;"/>
    <numFmt numFmtId="243" formatCode="0.0000"/>
    <numFmt numFmtId="244" formatCode="_-* #,##0.00_-;&quot;₩&quot;&quot;₩&quot;&quot;₩&quot;\-* #,##0.00_-;_-* &quot;-&quot;??_-;_-@_-"/>
    <numFmt numFmtId="245" formatCode="&quot;₩&quot;#,##0;&quot;₩&quot;&quot;₩&quot;&quot;₩&quot;&quot;₩&quot;&quot;₩&quot;&quot;₩&quot;&quot;₩&quot;&quot;₩&quot;&quot;₩&quot;&quot;₩&quot;\-&quot;₩&quot;#,##0"/>
    <numFmt numFmtId="246" formatCode="0.00000000"/>
    <numFmt numFmtId="247" formatCode="0.00000"/>
    <numFmt numFmtId="248" formatCode="#,##0;[Red]&quot;-&quot;#,##0"/>
    <numFmt numFmtId="249" formatCode="_ * #,##0.0000_ ;_ * \-#,##0.0000_ ;_ * &quot;-&quot;_ ;_ @_ "/>
    <numFmt numFmtId="250" formatCode="0.0_)"/>
    <numFmt numFmtId="251" formatCode="#,##0&quot;칸&quot;"/>
    <numFmt numFmtId="252" formatCode="#,##0.0&quot; ㎡&quot;"/>
    <numFmt numFmtId="253" formatCode="#,##0.0&quot; ㎥&quot;"/>
    <numFmt numFmtId="254" formatCode="_ * #,##0.000_ ;_ * \-#,##0.000_ ;_ * &quot;-&quot;_ ;_ @_ "/>
    <numFmt numFmtId="255" formatCode="_ * #,##0_ ;_ * &quot;₩&quot;&quot;₩&quot;&quot;₩&quot;&quot;₩&quot;&quot;₩&quot;\-#,##0_ ;_ * &quot;-&quot;_ ;_ @_ "/>
    <numFmt numFmtId="256" formatCode="&quot;₩&quot;#,##0;&quot;₩&quot;&quot;₩&quot;&quot;₩&quot;&quot;₩&quot;&quot;₩&quot;&quot;₩&quot;&quot;₩&quot;&quot;₩&quot;&quot;₩&quot;&quot;₩&quot;&quot;₩&quot;&quot;₩&quot;\-&quot;₩&quot;#,##0"/>
    <numFmt numFmtId="257" formatCode="&quot;₩&quot;#,##0.00;&quot;₩&quot;&quot;₩&quot;&quot;₩&quot;&quot;₩&quot;&quot;₩&quot;&quot;₩&quot;&quot;₩&quot;&quot;₩&quot;&quot;₩&quot;&quot;₩&quot;&quot;₩&quot;&quot;₩&quot;\-&quot;₩&quot;#,##0.00"/>
    <numFmt numFmtId="258" formatCode="#,##0;&quot;-&quot;#,##0"/>
    <numFmt numFmtId="259" formatCode="#,##0,"/>
    <numFmt numFmtId="260" formatCode="#,##0.000"/>
    <numFmt numFmtId="261" formatCode="#.00"/>
    <numFmt numFmtId="262" formatCode="_-* #,##0.0_-;&quot;₩&quot;\!\-* #,##0.0_-;_-* &quot;-&quot;_-;_-@_-"/>
    <numFmt numFmtId="263" formatCode="_ * #,##0_ ;_ * &quot;₩&quot;\!\-#,##0_ ;_ * &quot;-&quot;_ ;_ @_ "/>
    <numFmt numFmtId="264" formatCode="%#.00"/>
    <numFmt numFmtId="265" formatCode="#,##0."/>
    <numFmt numFmtId="266" formatCode="\$#.00"/>
    <numFmt numFmtId="267" formatCode="\$#."/>
    <numFmt numFmtId="268" formatCode="#,##0\ &quot;DM&quot;;[Red]\-#,##0\ &quot;DM&quot;"/>
    <numFmt numFmtId="269" formatCode="#,##0.00\ &quot;DM&quot;;[Red]\-#,##0.00\ &quot;DM&quot;"/>
    <numFmt numFmtId="270" formatCode="_ * #,##0.00000_ ;_ * \-#,##0.00000_ ;_ * &quot;-&quot;_ ;_ @_ "/>
    <numFmt numFmtId="271" formatCode="_-* #,##0_-;\-* #,##0_-;_-* &quot;-&quot;??_-;_-@_-"/>
    <numFmt numFmtId="272" formatCode="_ * #,##0.00_ ;_ * \-#,##0.00_ ;_ * &quot;-&quot;_ ;_ @_ "/>
    <numFmt numFmtId="273" formatCode="\ "/>
    <numFmt numFmtId="274" formatCode="&quot;₩&quot;\!\$#\!\,##0_);[Red]&quot;₩&quot;\!\(&quot;₩&quot;\!\$#\!\,##0&quot;₩&quot;\!\)"/>
    <numFmt numFmtId="275" formatCode="&quot;₩&quot;\!\$#,##0_);[Red]&quot;₩&quot;\!\(&quot;₩&quot;\!\$#,##0&quot;₩&quot;\!\)"/>
    <numFmt numFmtId="276" formatCode="&quot;(&quot;###.00&quot;)&quot;"/>
    <numFmt numFmtId="277" formatCode="_-&quot;$&quot;* #,##0.00_-;\-&quot;$&quot;* #,##0.00_-;_-&quot;$&quot;* &quot;-&quot;??_-;_-@_-"/>
    <numFmt numFmtId="278" formatCode="0.00_);[Red]\(0.00\)"/>
    <numFmt numFmtId="279" formatCode="[Red]\+#;[Red]\-#;[Red]0"/>
    <numFmt numFmtId="280" formatCode="#,##0;[Red]&quot;△&quot;#,##0"/>
    <numFmt numFmtId="281" formatCode="#,##0_ ;[Red]&quot;△&quot;#,##0\ "/>
    <numFmt numFmtId="282" formatCode="_(* #,##0_);_(* \(#,##0\);_(* &quot;-&quot;_);_(@_)"/>
    <numFmt numFmtId="283" formatCode="_ * #,##0.00_ ;_ * &quot;₩&quot;\!\-#,##0.00_ ;_ * &quot;-&quot;_ ;_ @_ "/>
    <numFmt numFmtId="284" formatCode="&quot;(&quot;0&quot;)&quot;"/>
    <numFmt numFmtId="285" formatCode="&quot;₩&quot;#,##0;&quot;₩&quot;&quot;₩&quot;&quot;₩&quot;&quot;₩&quot;\-#,##0"/>
    <numFmt numFmtId="286" formatCode="&quot;111-&quot;@"/>
    <numFmt numFmtId="287" formatCode="0.0%;[Red]&quot;△&quot;0.0%"/>
    <numFmt numFmtId="288" formatCode="0.00%;[Red]&quot;△&quot;0.00%"/>
    <numFmt numFmtId="289" formatCode="#,##0&quot;KW&quot;"/>
    <numFmt numFmtId="290" formatCode="_(* #,##0.00_);_(* \(#,##0.00\);_(* &quot;-&quot;??_);_(@_)"/>
    <numFmt numFmtId="291" formatCode="#,##0_);[Red]\(#,##0\)"/>
    <numFmt numFmtId="292" formatCode="0.00000%"/>
  </numFmts>
  <fonts count="17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9"/>
      <color indexed="1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22"/>
      <name val="굴림체"/>
      <family val="3"/>
      <charset val="129"/>
    </font>
    <font>
      <sz val="10"/>
      <name val="바탕체"/>
      <family val="1"/>
      <charset val="129"/>
    </font>
    <font>
      <sz val="12"/>
      <name val="¹UAAA¼"/>
      <family val="1"/>
    </font>
    <font>
      <sz val="11"/>
      <name val="μ¸¿o"/>
      <family val="3"/>
      <charset val="129"/>
    </font>
    <font>
      <sz val="8"/>
      <name val="바탕체"/>
      <family val="1"/>
      <charset val="129"/>
    </font>
    <font>
      <sz val="10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24"/>
      <name val="굴림체"/>
      <family val="3"/>
      <charset val="129"/>
    </font>
    <font>
      <b/>
      <sz val="12"/>
      <name val="굴림체"/>
      <family val="3"/>
      <charset val="129"/>
    </font>
    <font>
      <b/>
      <sz val="18"/>
      <name val="굴림체"/>
      <family val="3"/>
      <charset val="129"/>
    </font>
    <font>
      <b/>
      <u/>
      <sz val="18"/>
      <name val="굴림체"/>
      <family val="3"/>
      <charset val="129"/>
    </font>
    <font>
      <b/>
      <sz val="8"/>
      <name val="굴림체"/>
      <family val="3"/>
      <charset val="129"/>
    </font>
    <font>
      <sz val="9"/>
      <color indexed="10"/>
      <name val="HY울릉도M"/>
      <family val="1"/>
      <charset val="129"/>
    </font>
    <font>
      <sz val="9"/>
      <color indexed="10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indexed="58"/>
      <name val="돋움"/>
      <family val="3"/>
      <charset val="129"/>
    </font>
    <font>
      <sz val="10"/>
      <name val="돋움"/>
      <family val="3"/>
      <charset val="129"/>
    </font>
    <font>
      <sz val="8"/>
      <name val="돋움체"/>
      <family val="3"/>
      <charset val="129"/>
    </font>
    <font>
      <b/>
      <sz val="9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Times New Roman"/>
      <family val="1"/>
    </font>
    <font>
      <sz val="12"/>
      <name val="©öUAAA¨ù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8"/>
      <name val="©öUAAA¨ù"/>
      <family val="3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3"/>
      <charset val="129"/>
    </font>
    <font>
      <sz val="10"/>
      <name val="굴림"/>
      <family val="3"/>
      <charset val="129"/>
    </font>
    <font>
      <sz val="14"/>
      <name val="굴림체"/>
      <family val="3"/>
      <charset val="129"/>
    </font>
    <font>
      <sz val="16"/>
      <name val="굴림체"/>
      <family val="3"/>
      <charset val="129"/>
    </font>
    <font>
      <sz val="9"/>
      <color indexed="12"/>
      <name val="굴림체"/>
      <family val="3"/>
      <charset val="129"/>
    </font>
    <font>
      <sz val="9"/>
      <color indexed="58"/>
      <name val="굴림체"/>
      <family val="3"/>
      <charset val="129"/>
    </font>
    <font>
      <sz val="10"/>
      <color indexed="10"/>
      <name val="굴림"/>
      <family val="3"/>
      <charset val="129"/>
    </font>
    <font>
      <sz val="10"/>
      <color indexed="61"/>
      <name val="굴림"/>
      <family val="3"/>
      <charset val="129"/>
    </font>
    <font>
      <sz val="13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명조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sz val="10"/>
      <name val="명조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sz val="10"/>
      <color indexed="8"/>
      <name val="돋움체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2"/>
      <name val="Arial"/>
      <family val="2"/>
    </font>
    <font>
      <sz val="10"/>
      <name val="Geneva"/>
      <family val="2"/>
    </font>
    <font>
      <sz val="12"/>
      <name val="±¼¸²A¼"/>
      <family val="1"/>
      <charset val="129"/>
    </font>
    <font>
      <sz val="12"/>
      <name val="μ¸¿oA¼"/>
      <family val="3"/>
      <charset val="129"/>
    </font>
    <font>
      <sz val="12"/>
      <name val="±¼¸²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b/>
      <sz val="7"/>
      <name val="굴림체"/>
      <family val="3"/>
      <charset val="129"/>
    </font>
    <font>
      <sz val="11"/>
      <name val="돋움체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한양신명조"/>
      <family val="1"/>
      <charset val="129"/>
    </font>
    <font>
      <b/>
      <sz val="16"/>
      <name val="돋움체"/>
      <family val="3"/>
      <charset val="129"/>
    </font>
    <font>
      <sz val="10"/>
      <color indexed="12"/>
      <name val="Arial"/>
      <family val="2"/>
    </font>
    <font>
      <sz val="8"/>
      <color indexed="12"/>
      <name val="Arial"/>
      <family val="2"/>
    </font>
    <font>
      <vertAlign val="superscript"/>
      <sz val="10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36"/>
      <name val="돋움"/>
      <family val="3"/>
      <charset val="129"/>
    </font>
    <font>
      <sz val="8"/>
      <color indexed="12"/>
      <name val="굴림체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sz val="12"/>
      <color indexed="8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1"/>
      <name val="돋?o"/>
      <family val="3"/>
      <charset val="129"/>
    </font>
    <font>
      <sz val="11"/>
      <name val="ⓒoUAAA¨u"/>
      <family val="1"/>
      <charset val="129"/>
    </font>
    <font>
      <sz val="10"/>
      <name val="Book Antiqua"/>
      <family val="1"/>
    </font>
    <font>
      <sz val="10"/>
      <name val="Times New Roman"/>
      <family val="1"/>
    </font>
    <font>
      <b/>
      <sz val="12"/>
      <color indexed="16"/>
      <name val="±¼¸²A¼"/>
      <family val="1"/>
      <charset val="129"/>
    </font>
    <font>
      <sz val="12"/>
      <color indexed="8"/>
      <name val="견명조"/>
      <family val="1"/>
      <charset val="129"/>
    </font>
    <font>
      <sz val="11"/>
      <color indexed="8"/>
      <name val="굴림체"/>
      <family val="3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9"/>
      <name val="바탕체"/>
      <family val="1"/>
      <charset val="129"/>
    </font>
    <font>
      <sz val="10"/>
      <name val="태-물방울B"/>
      <family val="1"/>
      <charset val="129"/>
    </font>
    <font>
      <sz val="10"/>
      <name val="PragmaticaCTT"/>
      <family val="1"/>
    </font>
    <font>
      <i/>
      <sz val="10"/>
      <name val="바탕체"/>
      <family val="1"/>
      <charset val="129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9"/>
      <name val="華康仿宋體"/>
      <family val="3"/>
      <charset val="129"/>
    </font>
    <font>
      <sz val="8"/>
      <name val="#중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9"/>
      <color indexed="12"/>
      <name val="굴림체"/>
      <family val="3"/>
      <charset val="129"/>
    </font>
    <font>
      <sz val="9"/>
      <color indexed="9"/>
      <name val="굴림체"/>
      <family val="3"/>
      <charset val="129"/>
    </font>
    <font>
      <b/>
      <u/>
      <sz val="14"/>
      <name val="굴림체"/>
      <family val="3"/>
      <charset val="129"/>
    </font>
    <font>
      <b/>
      <u/>
      <sz val="15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</borders>
  <cellStyleXfs count="5326">
    <xf numFmtId="0" fontId="0" fillId="0" borderId="0"/>
    <xf numFmtId="222" fontId="82" fillId="0" borderId="0">
      <protection locked="0"/>
    </xf>
    <xf numFmtId="0" fontId="26" fillId="0" borderId="0"/>
    <xf numFmtId="176" fontId="69" fillId="0" borderId="0" applyFont="0" applyFill="0" applyBorder="0" applyAlignment="0" applyProtection="0"/>
    <xf numFmtId="0" fontId="24" fillId="0" borderId="1">
      <alignment horizontal="center"/>
    </xf>
    <xf numFmtId="0" fontId="24" fillId="0" borderId="1">
      <alignment horizontal="center"/>
    </xf>
    <xf numFmtId="0" fontId="70" fillId="0" borderId="0">
      <alignment vertical="center"/>
    </xf>
    <xf numFmtId="0" fontId="26" fillId="0" borderId="2">
      <alignment horizontal="centerContinuous" vertical="center"/>
    </xf>
    <xf numFmtId="3" fontId="13" fillId="0" borderId="0">
      <alignment vertical="center"/>
    </xf>
    <xf numFmtId="199" fontId="13" fillId="0" borderId="0">
      <alignment vertical="center"/>
    </xf>
    <xf numFmtId="4" fontId="13" fillId="0" borderId="0">
      <alignment vertical="center"/>
    </xf>
    <xf numFmtId="260" fontId="13" fillId="0" borderId="0">
      <alignment vertical="center"/>
    </xf>
    <xf numFmtId="0" fontId="26" fillId="0" borderId="2">
      <alignment horizontal="centerContinuous" vertical="center"/>
    </xf>
    <xf numFmtId="24" fontId="24" fillId="0" borderId="0" applyFont="0" applyFill="0" applyBorder="0" applyAlignment="0" applyProtection="0"/>
    <xf numFmtId="176" fontId="71" fillId="0" borderId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0" fontId="22" fillId="0" borderId="0">
      <alignment vertical="center"/>
    </xf>
    <xf numFmtId="0" fontId="72" fillId="0" borderId="0">
      <alignment vertical="center"/>
    </xf>
    <xf numFmtId="0" fontId="22" fillId="0" borderId="0">
      <alignment vertical="center"/>
    </xf>
    <xf numFmtId="198" fontId="13" fillId="0" borderId="0">
      <alignment horizontal="center"/>
    </xf>
    <xf numFmtId="246" fontId="73" fillId="0" borderId="0" applyNumberFormat="0">
      <alignment horizontal="center" vertical="center"/>
      <protection locked="0" hidden="1"/>
    </xf>
    <xf numFmtId="0" fontId="5" fillId="0" borderId="0" applyFont="0" applyFill="0" applyBorder="0" applyAlignment="0" applyProtection="0"/>
    <xf numFmtId="0" fontId="13" fillId="0" borderId="0"/>
    <xf numFmtId="0" fontId="3" fillId="0" borderId="0"/>
    <xf numFmtId="0" fontId="5" fillId="0" borderId="0"/>
    <xf numFmtId="0" fontId="5" fillId="0" borderId="0"/>
    <xf numFmtId="0" fontId="19" fillId="0" borderId="0"/>
    <xf numFmtId="0" fontId="74" fillId="0" borderId="0"/>
    <xf numFmtId="0" fontId="5" fillId="0" borderId="0"/>
    <xf numFmtId="0" fontId="7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9" fillId="0" borderId="0"/>
    <xf numFmtId="0" fontId="74" fillId="0" borderId="0"/>
    <xf numFmtId="0" fontId="24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176" fontId="13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257" fontId="13" fillId="0" borderId="0" applyFont="0" applyFill="0" applyBorder="0" applyAlignment="0" applyProtection="0"/>
    <xf numFmtId="0" fontId="19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13" fillId="0" borderId="0" applyFont="0" applyFill="0" applyBorder="0" applyAlignment="0" applyProtection="0"/>
    <xf numFmtId="0" fontId="19" fillId="0" borderId="0"/>
    <xf numFmtId="0" fontId="19" fillId="0" borderId="0"/>
    <xf numFmtId="0" fontId="74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6" fontId="13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3" fillId="0" borderId="0"/>
    <xf numFmtId="0" fontId="24" fillId="0" borderId="0"/>
    <xf numFmtId="176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176" fontId="13" fillId="0" borderId="0" applyFont="0" applyFill="0" applyBorder="0" applyAlignment="0" applyProtection="0"/>
    <xf numFmtId="0" fontId="19" fillId="0" borderId="0"/>
    <xf numFmtId="0" fontId="19" fillId="0" borderId="0"/>
    <xf numFmtId="176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4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6" fontId="13" fillId="0" borderId="0" applyFont="0" applyFill="0" applyBorder="0" applyAlignment="0" applyProtection="0"/>
    <xf numFmtId="0" fontId="5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215" fontId="13" fillId="0" borderId="0" applyFont="0" applyFill="0" applyBorder="0" applyAlignment="0" applyProtection="0"/>
    <xf numFmtId="214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6" fontId="13" fillId="0" borderId="0" applyFont="0" applyFill="0" applyBorder="0" applyAlignment="0" applyProtection="0"/>
    <xf numFmtId="0" fontId="5" fillId="0" borderId="0"/>
    <xf numFmtId="0" fontId="74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5" fillId="0" borderId="0"/>
    <xf numFmtId="0" fontId="19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19" fillId="0" borderId="0" applyFont="0" applyFill="0" applyBorder="0" applyAlignment="0" applyProtection="0"/>
    <xf numFmtId="0" fontId="24" fillId="0" borderId="0"/>
    <xf numFmtId="0" fontId="1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6" fontId="13" fillId="0" borderId="0" applyFont="0" applyFill="0" applyBorder="0" applyAlignment="0" applyProtection="0"/>
    <xf numFmtId="0" fontId="24" fillId="0" borderId="0"/>
    <xf numFmtId="0" fontId="5" fillId="0" borderId="0"/>
    <xf numFmtId="0" fontId="24" fillId="0" borderId="0"/>
    <xf numFmtId="0" fontId="74" fillId="0" borderId="0"/>
    <xf numFmtId="0" fontId="74" fillId="0" borderId="0"/>
    <xf numFmtId="0" fontId="5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4" fillId="0" borderId="0"/>
    <xf numFmtId="0" fontId="5" fillId="0" borderId="0"/>
    <xf numFmtId="0" fontId="24" fillId="0" borderId="0"/>
    <xf numFmtId="244" fontId="3" fillId="0" borderId="0" applyFont="0" applyFill="0" applyBorder="0" applyAlignment="0" applyProtection="0"/>
    <xf numFmtId="244" fontId="3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/>
    <xf numFmtId="0" fontId="19" fillId="0" borderId="0"/>
    <xf numFmtId="0" fontId="5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5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6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176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24" fillId="0" borderId="0"/>
    <xf numFmtId="0" fontId="19" fillId="0" borderId="0"/>
    <xf numFmtId="0" fontId="5" fillId="0" borderId="0"/>
    <xf numFmtId="0" fontId="5" fillId="0" borderId="0"/>
    <xf numFmtId="176" fontId="13" fillId="0" borderId="0" applyFont="0" applyFill="0" applyBorder="0" applyAlignment="0" applyProtection="0"/>
    <xf numFmtId="0" fontId="24" fillId="0" borderId="0"/>
    <xf numFmtId="0" fontId="19" fillId="0" borderId="0"/>
    <xf numFmtId="0" fontId="3" fillId="0" borderId="0"/>
    <xf numFmtId="0" fontId="24" fillId="0" borderId="0"/>
    <xf numFmtId="0" fontId="19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5" fillId="0" borderId="0"/>
    <xf numFmtId="0" fontId="5" fillId="0" borderId="0"/>
    <xf numFmtId="176" fontId="13" fillId="0" borderId="0" applyFont="0" applyFill="0" applyBorder="0" applyAlignment="0" applyProtection="0"/>
    <xf numFmtId="0" fontId="19" fillId="0" borderId="0"/>
    <xf numFmtId="0" fontId="3" fillId="0" borderId="0"/>
    <xf numFmtId="176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5" fillId="0" borderId="0"/>
    <xf numFmtId="0" fontId="3" fillId="0" borderId="0" applyFont="0" applyFill="0" applyBorder="0" applyAlignment="0" applyProtection="0"/>
    <xf numFmtId="0" fontId="19" fillId="0" borderId="0"/>
    <xf numFmtId="0" fontId="19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19" fillId="0" borderId="0"/>
    <xf numFmtId="0" fontId="24" fillId="0" borderId="0"/>
    <xf numFmtId="0" fontId="3" fillId="0" borderId="0"/>
    <xf numFmtId="0" fontId="3" fillId="0" borderId="0"/>
    <xf numFmtId="0" fontId="5" fillId="0" borderId="0"/>
    <xf numFmtId="0" fontId="24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6" fontId="13" fillId="0" borderId="0" applyFont="0" applyFill="0" applyBorder="0" applyAlignment="0" applyProtection="0"/>
    <xf numFmtId="0" fontId="19" fillId="0" borderId="0"/>
    <xf numFmtId="0" fontId="5" fillId="0" borderId="0"/>
    <xf numFmtId="0" fontId="24" fillId="0" borderId="0"/>
    <xf numFmtId="0" fontId="5" fillId="0" borderId="0"/>
    <xf numFmtId="0" fontId="19" fillId="0" borderId="0"/>
    <xf numFmtId="0" fontId="5" fillId="0" borderId="0"/>
    <xf numFmtId="0" fontId="82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2" fillId="0" borderId="0"/>
    <xf numFmtId="261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9" fontId="26" fillId="0" borderId="0">
      <alignment vertical="center"/>
    </xf>
    <xf numFmtId="0" fontId="26" fillId="0" borderId="0">
      <alignment vertical="center"/>
    </xf>
    <xf numFmtId="10" fontId="26" fillId="0" borderId="0">
      <alignment vertical="center"/>
    </xf>
    <xf numFmtId="0" fontId="26" fillId="0" borderId="0">
      <alignment vertical="center"/>
    </xf>
    <xf numFmtId="262" fontId="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horizontal="center" vertical="center"/>
    </xf>
    <xf numFmtId="0" fontId="22" fillId="0" borderId="0"/>
    <xf numFmtId="0" fontId="22" fillId="0" borderId="0"/>
    <xf numFmtId="0" fontId="22" fillId="0" borderId="0"/>
    <xf numFmtId="41" fontId="13" fillId="0" borderId="0">
      <alignment horizontal="center" vertical="center"/>
    </xf>
    <xf numFmtId="41" fontId="13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1" fontId="13" fillId="0" borderId="0">
      <alignment horizontal="center" vertical="center"/>
    </xf>
    <xf numFmtId="243" fontId="1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43" fontId="13" fillId="0" borderId="0">
      <alignment horizontal="center" vertical="center"/>
    </xf>
    <xf numFmtId="243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41" fontId="13" fillId="0" borderId="0">
      <alignment horizontal="center" vertical="center"/>
    </xf>
    <xf numFmtId="217" fontId="75" fillId="0" borderId="0">
      <alignment horizontal="center" vertical="center"/>
    </xf>
    <xf numFmtId="0" fontId="75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0" fontId="13" fillId="0" borderId="0">
      <alignment horizontal="center" vertical="center"/>
    </xf>
    <xf numFmtId="41" fontId="13" fillId="0" borderId="0">
      <alignment horizontal="center" vertical="center"/>
    </xf>
    <xf numFmtId="0" fontId="22" fillId="0" borderId="0"/>
    <xf numFmtId="0" fontId="20" fillId="0" borderId="0">
      <alignment horizontal="center" vertical="center"/>
    </xf>
    <xf numFmtId="0" fontId="22" fillId="0" borderId="0"/>
    <xf numFmtId="0" fontId="22" fillId="0" borderId="0"/>
    <xf numFmtId="0" fontId="20" fillId="0" borderId="0">
      <alignment horizontal="center" vertical="center"/>
    </xf>
    <xf numFmtId="0" fontId="22" fillId="0" borderId="0"/>
    <xf numFmtId="0" fontId="22" fillId="0" borderId="0"/>
    <xf numFmtId="0" fontId="22" fillId="0" borderId="0"/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2" fillId="0" borderId="0"/>
    <xf numFmtId="0" fontId="22" fillId="0" borderId="0"/>
    <xf numFmtId="0" fontId="20" fillId="0" borderId="0">
      <alignment horizontal="center" vertical="center"/>
    </xf>
    <xf numFmtId="3" fontId="76" fillId="0" borderId="3">
      <alignment horizontal="right" vertical="center"/>
    </xf>
    <xf numFmtId="0" fontId="22" fillId="0" borderId="0"/>
    <xf numFmtId="0" fontId="20" fillId="0" borderId="0">
      <alignment horizontal="center" vertical="center"/>
    </xf>
    <xf numFmtId="0" fontId="22" fillId="0" borderId="0"/>
    <xf numFmtId="0" fontId="5" fillId="0" borderId="0" applyNumberFormat="0" applyFill="0" applyBorder="0" applyAlignment="0" applyProtection="0"/>
    <xf numFmtId="196" fontId="13" fillId="0" borderId="0">
      <protection locked="0"/>
    </xf>
    <xf numFmtId="2" fontId="76" fillId="0" borderId="3">
      <alignment horizontal="right" vertical="center"/>
    </xf>
    <xf numFmtId="0" fontId="82" fillId="0" borderId="0">
      <protection locked="0"/>
    </xf>
    <xf numFmtId="9" fontId="13" fillId="0" borderId="0">
      <protection locked="0"/>
    </xf>
    <xf numFmtId="0" fontId="77" fillId="0" borderId="0">
      <alignment horizontal="right"/>
    </xf>
    <xf numFmtId="208" fontId="3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7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216" fontId="13" fillId="0" borderId="0"/>
    <xf numFmtId="0" fontId="79" fillId="0" borderId="4">
      <alignment horizontal="center" vertical="center"/>
    </xf>
    <xf numFmtId="206" fontId="13" fillId="0" borderId="4">
      <alignment horizontal="right"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>
      <alignment horizontal="left"/>
    </xf>
    <xf numFmtId="0" fontId="13" fillId="0" borderId="5" applyFont="0" applyFill="0" applyBorder="0" applyAlignment="0" applyProtection="0">
      <protection locked="0"/>
    </xf>
    <xf numFmtId="0" fontId="15" fillId="0" borderId="0" applyFont="0" applyBorder="0" applyAlignment="0">
      <alignment horizontal="left" vertical="center"/>
    </xf>
    <xf numFmtId="0" fontId="82" fillId="0" borderId="0">
      <protection locked="0"/>
    </xf>
    <xf numFmtId="0" fontId="83" fillId="0" borderId="0">
      <alignment vertical="center"/>
    </xf>
    <xf numFmtId="3" fontId="24" fillId="0" borderId="6">
      <alignment horizontal="center"/>
    </xf>
    <xf numFmtId="0" fontId="13" fillId="0" borderId="5" applyFont="0" applyFill="0" applyBorder="0" applyAlignment="0" applyProtection="0">
      <alignment horizontal="right"/>
      <protection locked="0"/>
    </xf>
    <xf numFmtId="0" fontId="13" fillId="0" borderId="5" applyFont="0" applyFill="0" applyBorder="0" applyAlignment="0" applyProtection="0">
      <alignment horizontal="center"/>
    </xf>
    <xf numFmtId="0" fontId="13" fillId="0" borderId="5" applyFont="0" applyFill="0" applyBorder="0" applyAlignment="0" applyProtection="0">
      <alignment horizontal="right"/>
    </xf>
    <xf numFmtId="0" fontId="13" fillId="0" borderId="5" applyFont="0" applyFill="0" applyBorder="0" applyAlignment="0" applyProtection="0">
      <alignment horizontal="center"/>
      <protection locked="0"/>
    </xf>
    <xf numFmtId="230" fontId="13" fillId="0" borderId="7" applyFill="0" applyBorder="0" applyProtection="0">
      <alignment vertical="center"/>
    </xf>
    <xf numFmtId="0" fontId="84" fillId="0" borderId="4">
      <alignment horizontal="center" vertical="center"/>
    </xf>
    <xf numFmtId="0" fontId="13" fillId="2" borderId="0">
      <alignment horizontal="left"/>
    </xf>
    <xf numFmtId="0" fontId="84" fillId="0" borderId="4">
      <alignment horizontal="center" vertical="center"/>
    </xf>
    <xf numFmtId="0" fontId="82" fillId="0" borderId="0"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52" fontId="81" fillId="0" borderId="0" applyFont="0" applyFill="0" applyBorder="0" applyAlignment="0" applyProtection="0">
      <alignment horizontal="left"/>
      <protection locked="0"/>
    </xf>
    <xf numFmtId="0" fontId="81" fillId="0" borderId="0" applyFont="0" applyFill="0" applyBorder="0" applyAlignment="0" applyProtection="0">
      <alignment horizontal="left"/>
    </xf>
    <xf numFmtId="0" fontId="26" fillId="0" borderId="0" applyFont="0" applyFill="0" applyBorder="0" applyAlignment="0" applyProtection="0">
      <alignment horizontal="left"/>
      <protection locked="0"/>
    </xf>
    <xf numFmtId="0" fontId="81" fillId="0" borderId="0" applyFont="0" applyFill="0" applyBorder="0" applyAlignment="0" applyProtection="0">
      <alignment horizontal="left"/>
    </xf>
    <xf numFmtId="0" fontId="81" fillId="0" borderId="0" applyFont="0" applyBorder="0" applyAlignment="0">
      <alignment horizontal="left"/>
    </xf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>
      <alignment horizontal="left"/>
    </xf>
    <xf numFmtId="0" fontId="81" fillId="0" borderId="0" applyFont="0" applyFill="0" applyBorder="0" applyAlignment="0" applyProtection="0">
      <alignment horizontal="left"/>
    </xf>
    <xf numFmtId="0" fontId="81" fillId="0" borderId="0" applyFont="0" applyFill="0" applyBorder="0" applyAlignment="0" applyProtection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1" fillId="0" borderId="0" applyFont="0" applyFill="0" applyBorder="0" applyAlignment="0" applyProtection="0">
      <alignment horizontal="right"/>
    </xf>
    <xf numFmtId="41" fontId="86" fillId="0" borderId="8" applyNumberFormat="0" applyFont="0" applyFill="0" applyBorder="0" applyProtection="0">
      <alignment horizontal="distributed"/>
    </xf>
    <xf numFmtId="196" fontId="13" fillId="0" borderId="0">
      <protection locked="0"/>
    </xf>
    <xf numFmtId="9" fontId="3" fillId="0" borderId="0" applyFont="0" applyFill="0" applyBorder="0" applyAlignment="0" applyProtection="0">
      <alignment vertical="center"/>
    </xf>
    <xf numFmtId="9" fontId="20" fillId="3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62" fillId="0" borderId="0" applyFont="0" applyFill="0" applyBorder="0" applyAlignment="0" applyProtection="0">
      <alignment vertical="center"/>
    </xf>
    <xf numFmtId="21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0" fontId="87" fillId="0" borderId="0"/>
    <xf numFmtId="0" fontId="130" fillId="0" borderId="0" applyFont="0" applyFill="0" applyBorder="0" applyProtection="0">
      <alignment horizontal="center" vertical="center"/>
    </xf>
    <xf numFmtId="0" fontId="130" fillId="0" borderId="0" applyFont="0" applyFill="0" applyBorder="0" applyProtection="0">
      <alignment horizontal="center" vertical="center"/>
    </xf>
    <xf numFmtId="3" fontId="26" fillId="0" borderId="7">
      <alignment vertical="center"/>
    </xf>
    <xf numFmtId="0" fontId="88" fillId="0" borderId="9" applyFont="0" applyFill="0" applyAlignment="0" applyProtection="0">
      <alignment horizontal="center" vertical="center"/>
    </xf>
    <xf numFmtId="0" fontId="131" fillId="0" borderId="0"/>
    <xf numFmtId="240" fontId="3" fillId="0" borderId="10" applyBorder="0"/>
    <xf numFmtId="217" fontId="13" fillId="0" borderId="0" applyNumberFormat="0" applyFont="0" applyFill="0" applyBorder="0" applyProtection="0">
      <alignment horizontal="centerContinuous"/>
    </xf>
    <xf numFmtId="184" fontId="89" fillId="0" borderId="4">
      <alignment vertical="center"/>
    </xf>
    <xf numFmtId="3" fontId="86" fillId="0" borderId="8"/>
    <xf numFmtId="0" fontId="86" fillId="0" borderId="8"/>
    <xf numFmtId="3" fontId="86" fillId="0" borderId="11"/>
    <xf numFmtId="3" fontId="86" fillId="0" borderId="12"/>
    <xf numFmtId="0" fontId="132" fillId="0" borderId="8"/>
    <xf numFmtId="0" fontId="133" fillId="0" borderId="0">
      <alignment horizontal="center"/>
    </xf>
    <xf numFmtId="0" fontId="6" fillId="0" borderId="13">
      <alignment horizontal="center"/>
    </xf>
    <xf numFmtId="0" fontId="77" fillId="0" borderId="14"/>
    <xf numFmtId="3" fontId="90" fillId="0" borderId="7" applyFill="0" applyBorder="0" applyProtection="0">
      <alignment vertical="center"/>
    </xf>
    <xf numFmtId="231" fontId="13" fillId="0" borderId="7" applyFill="0" applyBorder="0" applyProtection="0">
      <alignment vertical="center"/>
    </xf>
    <xf numFmtId="230" fontId="13" fillId="0" borderId="7" applyFill="0" applyBorder="0" applyProtection="0">
      <alignment vertical="center"/>
    </xf>
    <xf numFmtId="229" fontId="13" fillId="0" borderId="7" applyFill="0" applyBorder="0" applyProtection="0">
      <alignment vertical="center"/>
    </xf>
    <xf numFmtId="251" fontId="3" fillId="0" borderId="10"/>
    <xf numFmtId="0" fontId="3" fillId="0" borderId="10"/>
    <xf numFmtId="0" fontId="84" fillId="0" borderId="4">
      <alignment horizontal="center" vertical="center"/>
    </xf>
    <xf numFmtId="0" fontId="81" fillId="0" borderId="0" applyFont="0" applyFill="0" applyBorder="0" applyAlignment="0" applyProtection="0"/>
    <xf numFmtId="1" fontId="13" fillId="0" borderId="0"/>
    <xf numFmtId="0" fontId="48" fillId="0" borderId="0"/>
    <xf numFmtId="0" fontId="26" fillId="0" borderId="0" applyFont="0" applyFill="0" applyBorder="0" applyAlignment="0" applyProtection="0"/>
    <xf numFmtId="21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6" fontId="13" fillId="0" borderId="15"/>
    <xf numFmtId="176" fontId="13" fillId="0" borderId="15"/>
    <xf numFmtId="0" fontId="81" fillId="0" borderId="16"/>
    <xf numFmtId="0" fontId="81" fillId="0" borderId="0" applyFont="0" applyFill="0" applyBorder="0" applyAlignment="0" applyProtection="0">
      <alignment horizontal="left"/>
      <protection locked="0"/>
    </xf>
    <xf numFmtId="0" fontId="8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81" fillId="0" borderId="0" applyFont="0" applyFill="0" applyBorder="0" applyAlignment="0" applyProtection="0">
      <alignment horizontal="center"/>
    </xf>
    <xf numFmtId="0" fontId="134" fillId="0" borderId="8">
      <alignment vertical="center"/>
    </xf>
    <xf numFmtId="203" fontId="3" fillId="0" borderId="0" applyFont="0" applyFill="0" applyBorder="0" applyAlignment="0" applyProtection="0"/>
    <xf numFmtId="0" fontId="91" fillId="0" borderId="0" applyFont="0" applyFill="0" applyBorder="0" applyAlignment="0" applyProtection="0"/>
    <xf numFmtId="203" fontId="3" fillId="0" borderId="0" applyFont="0" applyFill="0" applyBorder="0" applyAlignment="0" applyProtection="0"/>
    <xf numFmtId="258" fontId="91" fillId="0" borderId="0" applyFont="0" applyFill="0" applyBorder="0" applyAlignment="0" applyProtection="0"/>
    <xf numFmtId="0" fontId="32" fillId="0" borderId="0">
      <alignment vertical="center"/>
    </xf>
    <xf numFmtId="0" fontId="92" fillId="0" borderId="0">
      <alignment horizontal="center" vertical="center"/>
    </xf>
    <xf numFmtId="0" fontId="80" fillId="0" borderId="17" applyFont="0" applyFill="0" applyBorder="0" applyAlignment="0" applyProtection="0">
      <alignment horizontal="left" vertical="center"/>
    </xf>
    <xf numFmtId="0" fontId="80" fillId="0" borderId="18" applyFont="0" applyFill="0" applyBorder="0" applyAlignment="0" applyProtection="0"/>
    <xf numFmtId="0" fontId="93" fillId="0" borderId="0" applyNumberFormat="0" applyBorder="0" applyAlignment="0">
      <alignment horizontal="centerContinuous" vertical="center"/>
    </xf>
    <xf numFmtId="4" fontId="82" fillId="0" borderId="0">
      <protection locked="0"/>
    </xf>
    <xf numFmtId="3" fontId="94" fillId="0" borderId="0" applyFont="0" applyFill="0" applyBorder="0" applyAlignment="0" applyProtection="0"/>
    <xf numFmtId="0" fontId="77" fillId="0" borderId="0" applyFont="0" applyFill="0" applyBorder="0" applyAlignment="0" applyProtection="0">
      <alignment horizontal="right"/>
    </xf>
    <xf numFmtId="0" fontId="13" fillId="0" borderId="8">
      <alignment horizontal="distributed" vertical="center"/>
    </xf>
    <xf numFmtId="0" fontId="13" fillId="0" borderId="10">
      <alignment horizontal="distributed" vertical="top"/>
    </xf>
    <xf numFmtId="0" fontId="13" fillId="0" borderId="19">
      <alignment horizontal="distributed"/>
    </xf>
    <xf numFmtId="263" fontId="135" fillId="0" borderId="0">
      <alignment vertical="center"/>
    </xf>
    <xf numFmtId="0" fontId="13" fillId="0" borderId="0"/>
    <xf numFmtId="0" fontId="81" fillId="0" borderId="20" applyFont="0" applyFill="0" applyBorder="0" applyAlignment="0" applyProtection="0">
      <alignment horizontal="center"/>
    </xf>
    <xf numFmtId="0" fontId="26" fillId="0" borderId="0" applyFont="0" applyFill="0" applyBorder="0" applyAlignment="0" applyProtection="0">
      <alignment horizontal="left"/>
    </xf>
    <xf numFmtId="253" fontId="80" fillId="0" borderId="0" applyFont="0" applyFill="0" applyBorder="0" applyAlignment="0" applyProtection="0">
      <alignment horizontal="center"/>
      <protection locked="0"/>
    </xf>
    <xf numFmtId="0" fontId="81" fillId="0" borderId="0" applyFont="0" applyFill="0" applyBorder="0" applyAlignment="0" applyProtection="0">
      <protection locked="0"/>
    </xf>
    <xf numFmtId="0" fontId="77" fillId="0" borderId="0" applyFont="0" applyFill="0" applyBorder="0" applyAlignment="0" applyProtection="0"/>
    <xf numFmtId="0" fontId="84" fillId="0" borderId="4" applyFill="0" applyProtection="0">
      <alignment horizontal="center" vertical="center"/>
    </xf>
    <xf numFmtId="196" fontId="13" fillId="0" borderId="0">
      <protection locked="0"/>
    </xf>
    <xf numFmtId="248" fontId="62" fillId="0" borderId="0" applyFont="0" applyFill="0" applyBorder="0" applyAlignment="0" applyProtection="0">
      <alignment vertical="center"/>
    </xf>
    <xf numFmtId="196" fontId="13" fillId="0" borderId="0">
      <protection locked="0"/>
    </xf>
    <xf numFmtId="249" fontId="3" fillId="0" borderId="0" applyFont="0" applyFill="0" applyBorder="0" applyProtection="0">
      <alignment vertical="center"/>
    </xf>
    <xf numFmtId="176" fontId="13" fillId="0" borderId="8">
      <alignment horizontal="center" vertical="center"/>
    </xf>
    <xf numFmtId="41" fontId="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77" fillId="0" borderId="0" applyFont="0" applyFill="0" applyBorder="0" applyAlignment="0" applyProtection="0"/>
    <xf numFmtId="204" fontId="13" fillId="3" borderId="0" applyFill="0" applyBorder="0" applyProtection="0">
      <alignment horizontal="right"/>
    </xf>
    <xf numFmtId="0" fontId="80" fillId="0" borderId="0" applyFont="0" applyFill="0" applyBorder="0" applyAlignment="0" applyProtection="0"/>
    <xf numFmtId="38" fontId="86" fillId="0" borderId="0" applyFont="0" applyFill="0" applyBorder="0" applyAlignment="0" applyProtection="0">
      <alignment vertical="center"/>
    </xf>
    <xf numFmtId="243" fontId="13" fillId="0" borderId="0" applyFont="0" applyFill="0" applyBorder="0" applyAlignment="0" applyProtection="0">
      <alignment vertical="center"/>
    </xf>
    <xf numFmtId="247" fontId="13" fillId="0" borderId="0" applyFont="0" applyFill="0" applyBorder="0" applyAlignment="0" applyProtection="0">
      <alignment vertical="center"/>
    </xf>
    <xf numFmtId="3" fontId="77" fillId="0" borderId="0" applyFont="0" applyFill="0" applyBorder="0" applyAlignment="0" applyProtection="0"/>
    <xf numFmtId="0" fontId="77" fillId="0" borderId="0" applyFont="0" applyFill="0" applyBorder="0" applyAlignment="0" applyProtection="0">
      <alignment horizontal="right"/>
    </xf>
    <xf numFmtId="0" fontId="95" fillId="0" borderId="20" applyFont="0" applyFill="0" applyBorder="0" applyAlignment="0" applyProtection="0">
      <alignment horizontal="right"/>
    </xf>
    <xf numFmtId="0" fontId="26" fillId="0" borderId="10" applyFont="0" applyFill="0" applyBorder="0" applyAlignment="0" applyProtection="0">
      <alignment horizontal="right"/>
    </xf>
    <xf numFmtId="0" fontId="13" fillId="0" borderId="5" applyFont="0" applyFill="0" applyBorder="0" applyAlignment="0" applyProtection="0">
      <alignment horizontal="center"/>
    </xf>
    <xf numFmtId="226" fontId="3" fillId="0" borderId="0" applyFont="0" applyFill="0" applyBorder="0" applyAlignment="0" applyProtection="0"/>
    <xf numFmtId="227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81" fillId="0" borderId="0" applyFont="0" applyFill="0" applyBorder="0" applyAlignment="0" applyProtection="0"/>
    <xf numFmtId="196" fontId="13" fillId="0" borderId="0">
      <protection locked="0"/>
    </xf>
    <xf numFmtId="196" fontId="13" fillId="0" borderId="0">
      <protection locked="0"/>
    </xf>
    <xf numFmtId="42" fontId="3" fillId="0" borderId="0" applyFont="0" applyFill="0" applyBorder="0" applyAlignment="0" applyProtection="0">
      <alignment vertical="center"/>
    </xf>
    <xf numFmtId="10" fontId="94" fillId="0" borderId="0" applyFont="0" applyFill="0" applyBorder="0" applyAlignment="0" applyProtection="0"/>
    <xf numFmtId="196" fontId="13" fillId="0" borderId="0"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/>
    <xf numFmtId="0" fontId="106" fillId="0" borderId="0"/>
    <xf numFmtId="0" fontId="3" fillId="0" borderId="0"/>
    <xf numFmtId="0" fontId="3" fillId="0" borderId="0"/>
    <xf numFmtId="0" fontId="19" fillId="0" borderId="0"/>
    <xf numFmtId="0" fontId="3" fillId="0" borderId="0">
      <alignment vertical="center"/>
    </xf>
    <xf numFmtId="0" fontId="3" fillId="0" borderId="0"/>
    <xf numFmtId="0" fontId="71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3" fillId="0" borderId="4">
      <alignment vertical="center" wrapText="1"/>
    </xf>
    <xf numFmtId="0" fontId="3" fillId="0" borderId="8" applyNumberFormat="0" applyFill="0" applyProtection="0">
      <alignment vertical="center"/>
    </xf>
    <xf numFmtId="0" fontId="19" fillId="0" borderId="4">
      <alignment horizontal="center" vertical="center" wrapText="1"/>
    </xf>
    <xf numFmtId="0" fontId="82" fillId="0" borderId="21">
      <protection locked="0"/>
    </xf>
    <xf numFmtId="205" fontId="13" fillId="0" borderId="0">
      <protection locked="0"/>
    </xf>
    <xf numFmtId="207" fontId="3" fillId="0" borderId="0">
      <protection locked="0"/>
    </xf>
    <xf numFmtId="209" fontId="3" fillId="0" borderId="0">
      <protection locked="0"/>
    </xf>
    <xf numFmtId="196" fontId="13" fillId="0" borderId="0">
      <protection locked="0"/>
    </xf>
    <xf numFmtId="0" fontId="9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3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20" fillId="0" borderId="4" applyProtection="0">
      <alignment horizontal="left" vertical="center" wrapText="1"/>
    </xf>
    <xf numFmtId="0" fontId="13" fillId="0" borderId="0" applyFont="0" applyFill="0" applyBorder="0" applyAlignment="0" applyProtection="0"/>
    <xf numFmtId="196" fontId="13" fillId="0" borderId="0">
      <protection locked="0"/>
    </xf>
    <xf numFmtId="203" fontId="22" fillId="4" borderId="22">
      <alignment horizontal="center" vertical="center"/>
    </xf>
    <xf numFmtId="196" fontId="13" fillId="0" borderId="0">
      <protection locked="0"/>
    </xf>
    <xf numFmtId="196" fontId="13" fillId="0" borderId="0">
      <protection locked="0"/>
    </xf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5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18" fontId="98" fillId="0" borderId="0" applyFont="0" applyFill="0" applyBorder="0" applyAlignment="0" applyProtection="0"/>
    <xf numFmtId="218" fontId="98" fillId="0" borderId="0" applyFont="0" applyFill="0" applyBorder="0" applyAlignment="0" applyProtection="0"/>
    <xf numFmtId="218" fontId="98" fillId="0" borderId="0" applyFont="0" applyFill="0" applyBorder="0" applyAlignment="0" applyProtection="0"/>
    <xf numFmtId="218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220" fontId="23" fillId="0" borderId="0" applyFont="0" applyFill="0" applyBorder="0" applyAlignment="0" applyProtection="0"/>
    <xf numFmtId="220" fontId="35" fillId="0" borderId="0" applyFont="0" applyFill="0" applyBorder="0" applyAlignment="0" applyProtection="0"/>
    <xf numFmtId="220" fontId="23" fillId="0" borderId="0" applyFont="0" applyFill="0" applyBorder="0" applyAlignment="0" applyProtection="0"/>
    <xf numFmtId="220" fontId="35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239" fontId="1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5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19" fontId="98" fillId="0" borderId="0" applyFont="0" applyFill="0" applyBorder="0" applyAlignment="0" applyProtection="0"/>
    <xf numFmtId="219" fontId="98" fillId="0" borderId="0" applyFont="0" applyFill="0" applyBorder="0" applyAlignment="0" applyProtection="0"/>
    <xf numFmtId="219" fontId="98" fillId="0" borderId="0" applyFont="0" applyFill="0" applyBorder="0" applyAlignment="0" applyProtection="0"/>
    <xf numFmtId="219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221" fontId="23" fillId="0" borderId="0" applyFont="0" applyFill="0" applyBorder="0" applyAlignment="0" applyProtection="0"/>
    <xf numFmtId="221" fontId="35" fillId="0" borderId="0" applyFont="0" applyFill="0" applyBorder="0" applyAlignment="0" applyProtection="0"/>
    <xf numFmtId="221" fontId="23" fillId="0" borderId="0" applyFont="0" applyFill="0" applyBorder="0" applyAlignment="0" applyProtection="0"/>
    <xf numFmtId="221" fontId="35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229" fontId="13" fillId="0" borderId="0" applyFont="0" applyFill="0" applyBorder="0" applyAlignment="0" applyProtection="0"/>
    <xf numFmtId="196" fontId="13" fillId="0" borderId="0">
      <protection locked="0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64" fontId="82" fillId="0" borderId="0">
      <protection locked="0"/>
    </xf>
    <xf numFmtId="0" fontId="24" fillId="0" borderId="0"/>
    <xf numFmtId="0" fontId="23" fillId="0" borderId="0"/>
    <xf numFmtId="196" fontId="13" fillId="0" borderId="0">
      <protection locked="0"/>
    </xf>
    <xf numFmtId="0" fontId="3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5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176" fontId="98" fillId="0" borderId="0" applyFont="0" applyFill="0" applyBorder="0" applyAlignment="0" applyProtection="0"/>
    <xf numFmtId="176" fontId="98" fillId="0" borderId="0" applyFont="0" applyFill="0" applyBorder="0" applyAlignment="0" applyProtection="0"/>
    <xf numFmtId="176" fontId="98" fillId="0" borderId="0" applyFont="0" applyFill="0" applyBorder="0" applyAlignment="0" applyProtection="0"/>
    <xf numFmtId="176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35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40" fontId="98" fillId="0" borderId="0" applyFont="0" applyFill="0" applyBorder="0" applyAlignment="0" applyProtection="0"/>
    <xf numFmtId="40" fontId="98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35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35" fillId="0" borderId="0" applyFont="0" applyFill="0" applyBorder="0" applyAlignment="0" applyProtection="0"/>
    <xf numFmtId="4" fontId="82" fillId="0" borderId="0">
      <protection locked="0"/>
    </xf>
    <xf numFmtId="265" fontId="82" fillId="0" borderId="0">
      <protection locked="0"/>
    </xf>
    <xf numFmtId="58" fontId="3" fillId="0" borderId="0" applyFont="0" applyFill="0" applyBorder="0" applyAlignment="0" applyProtection="0"/>
    <xf numFmtId="196" fontId="13" fillId="0" borderId="0">
      <protection locked="0"/>
    </xf>
    <xf numFmtId="0" fontId="58" fillId="0" borderId="0"/>
    <xf numFmtId="0" fontId="59" fillId="0" borderId="0"/>
    <xf numFmtId="0" fontId="33" fillId="0" borderId="0"/>
    <xf numFmtId="0" fontId="53" fillId="0" borderId="0"/>
    <xf numFmtId="0" fontId="33" fillId="0" borderId="0"/>
    <xf numFmtId="0" fontId="53" fillId="0" borderId="0"/>
    <xf numFmtId="0" fontId="3" fillId="0" borderId="0"/>
    <xf numFmtId="0" fontId="60" fillId="0" borderId="0"/>
    <xf numFmtId="0" fontId="34" fillId="0" borderId="0"/>
    <xf numFmtId="0" fontId="53" fillId="0" borderId="0"/>
    <xf numFmtId="0" fontId="33" fillId="0" borderId="0"/>
    <xf numFmtId="0" fontId="61" fillId="0" borderId="0"/>
    <xf numFmtId="0" fontId="3" fillId="0" borderId="0"/>
    <xf numFmtId="0" fontId="35" fillId="0" borderId="0"/>
    <xf numFmtId="0" fontId="23" fillId="0" borderId="0"/>
    <xf numFmtId="0" fontId="36" fillId="0" borderId="0"/>
    <xf numFmtId="0" fontId="100" fillId="0" borderId="0"/>
    <xf numFmtId="0" fontId="35" fillId="0" borderId="0"/>
    <xf numFmtId="0" fontId="23" fillId="0" borderId="0"/>
    <xf numFmtId="0" fontId="35" fillId="0" borderId="0"/>
    <xf numFmtId="49" fontId="23" fillId="0" borderId="0" applyBorder="0"/>
    <xf numFmtId="0" fontId="56" fillId="0" borderId="0"/>
    <xf numFmtId="0" fontId="23" fillId="0" borderId="0"/>
    <xf numFmtId="0" fontId="23" fillId="0" borderId="0"/>
    <xf numFmtId="0" fontId="35" fillId="0" borderId="0"/>
    <xf numFmtId="0" fontId="23" fillId="0" borderId="0"/>
    <xf numFmtId="0" fontId="35" fillId="0" borderId="0"/>
    <xf numFmtId="0" fontId="23" fillId="0" borderId="0"/>
    <xf numFmtId="0" fontId="35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01" fillId="0" borderId="0"/>
    <xf numFmtId="0" fontId="3" fillId="0" borderId="0" applyFill="0" applyBorder="0" applyAlignment="0"/>
    <xf numFmtId="232" fontId="102" fillId="0" borderId="0" applyFill="0" applyBorder="0" applyAlignment="0"/>
    <xf numFmtId="217" fontId="102" fillId="0" borderId="0" applyFill="0" applyBorder="0" applyAlignment="0"/>
    <xf numFmtId="0" fontId="5" fillId="0" borderId="0" applyFill="0" applyBorder="0" applyAlignment="0"/>
    <xf numFmtId="233" fontId="5" fillId="0" borderId="0" applyFill="0" applyBorder="0" applyAlignment="0"/>
    <xf numFmtId="237" fontId="19" fillId="0" borderId="0" applyFill="0" applyBorder="0" applyAlignment="0"/>
    <xf numFmtId="234" fontId="5" fillId="0" borderId="0" applyFill="0" applyBorder="0" applyAlignment="0"/>
    <xf numFmtId="232" fontId="102" fillId="0" borderId="0" applyFill="0" applyBorder="0" applyAlignment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245" fontId="13" fillId="0" borderId="0" applyFont="0" applyFill="0" applyBorder="0" applyAlignment="0" applyProtection="0"/>
    <xf numFmtId="196" fontId="13" fillId="0" borderId="0">
      <protection locked="0"/>
    </xf>
    <xf numFmtId="0" fontId="82" fillId="0" borderId="21">
      <protection locked="0"/>
    </xf>
    <xf numFmtId="40" fontId="24" fillId="0" borderId="0" applyFont="0" applyFill="0" applyBorder="0" applyAlignment="0" applyProtection="0"/>
    <xf numFmtId="190" fontId="19" fillId="0" borderId="0" applyFont="0" applyFill="0" applyBorder="0" applyAlignment="0" applyProtection="0"/>
    <xf numFmtId="38" fontId="24" fillId="0" borderId="0" applyFont="0" applyFill="0" applyBorder="0" applyAlignment="0" applyProtection="0"/>
    <xf numFmtId="237" fontId="19" fillId="0" borderId="0" applyFont="0" applyFill="0" applyBorder="0" applyAlignment="0" applyProtection="0"/>
    <xf numFmtId="202" fontId="3" fillId="0" borderId="0"/>
    <xf numFmtId="212" fontId="13" fillId="0" borderId="0">
      <protection locked="0"/>
    </xf>
    <xf numFmtId="0" fontId="105" fillId="0" borderId="0" applyNumberFormat="0" applyAlignment="0">
      <alignment horizontal="left"/>
    </xf>
    <xf numFmtId="0" fontId="19" fillId="0" borderId="0" applyFont="0" applyFill="0" applyBorder="0" applyAlignment="0" applyProtection="0"/>
    <xf numFmtId="188" fontId="13" fillId="0" borderId="0">
      <protection locked="0"/>
    </xf>
    <xf numFmtId="187" fontId="24" fillId="0" borderId="0" applyFont="0" applyFill="0" applyBorder="0" applyAlignment="0" applyProtection="0"/>
    <xf numFmtId="232" fontId="102" fillId="0" borderId="0" applyFont="0" applyFill="0" applyBorder="0" applyAlignment="0" applyProtection="0"/>
    <xf numFmtId="178" fontId="5" fillId="0" borderId="0" applyFont="0" applyFill="0" applyBorder="0" applyAlignment="0" applyProtection="0"/>
    <xf numFmtId="213" fontId="13" fillId="0" borderId="0">
      <protection locked="0"/>
    </xf>
    <xf numFmtId="186" fontId="3" fillId="0" borderId="0"/>
    <xf numFmtId="0" fontId="82" fillId="0" borderId="0">
      <protection locked="0"/>
    </xf>
    <xf numFmtId="14" fontId="106" fillId="0" borderId="0" applyFill="0" applyBorder="0" applyAlignment="0"/>
    <xf numFmtId="199" fontId="84" fillId="0" borderId="0">
      <protection locked="0"/>
    </xf>
    <xf numFmtId="37" fontId="26" fillId="0" borderId="8">
      <alignment horizontal="center" vertical="distributed"/>
    </xf>
    <xf numFmtId="38" fontId="24" fillId="0" borderId="23">
      <alignment vertical="center"/>
    </xf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200" fontId="3" fillId="0" borderId="0"/>
    <xf numFmtId="266" fontId="82" fillId="0" borderId="0">
      <protection locked="0"/>
    </xf>
    <xf numFmtId="267" fontId="82" fillId="0" borderId="0">
      <protection locked="0"/>
    </xf>
    <xf numFmtId="237" fontId="19" fillId="0" borderId="0" applyFill="0" applyBorder="0" applyAlignment="0"/>
    <xf numFmtId="232" fontId="102" fillId="0" borderId="0" applyFill="0" applyBorder="0" applyAlignment="0"/>
    <xf numFmtId="237" fontId="19" fillId="0" borderId="0" applyFill="0" applyBorder="0" applyAlignment="0"/>
    <xf numFmtId="234" fontId="5" fillId="0" borderId="0" applyFill="0" applyBorder="0" applyAlignment="0"/>
    <xf numFmtId="232" fontId="102" fillId="0" borderId="0" applyFill="0" applyBorder="0" applyAlignment="0"/>
    <xf numFmtId="0" fontId="107" fillId="0" borderId="0" applyNumberFormat="0" applyAlignment="0">
      <alignment horizontal="left"/>
    </xf>
    <xf numFmtId="223" fontId="3" fillId="0" borderId="0" applyFont="0" applyFill="0" applyBorder="0" applyAlignment="0" applyProtection="0"/>
    <xf numFmtId="0" fontId="82" fillId="0" borderId="0">
      <protection locked="0"/>
    </xf>
    <xf numFmtId="0" fontId="82" fillId="0" borderId="0">
      <protection locked="0"/>
    </xf>
    <xf numFmtId="0" fontId="108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108" fillId="0" borderId="0">
      <protection locked="0"/>
    </xf>
    <xf numFmtId="211" fontId="13" fillId="0" borderId="0">
      <protection locked="0"/>
    </xf>
    <xf numFmtId="176" fontId="13" fillId="0" borderId="0" applyFont="0" applyFill="0" applyBorder="0" applyAlignment="0" applyProtection="0"/>
    <xf numFmtId="38" fontId="109" fillId="3" borderId="0" applyNumberFormat="0" applyBorder="0" applyAlignment="0" applyProtection="0"/>
    <xf numFmtId="3" fontId="26" fillId="0" borderId="7">
      <alignment horizontal="right" vertical="center"/>
    </xf>
    <xf numFmtId="4" fontId="26" fillId="0" borderId="7">
      <alignment horizontal="right" vertical="center"/>
    </xf>
    <xf numFmtId="0" fontId="110" fillId="0" borderId="0">
      <alignment horizontal="left"/>
    </xf>
    <xf numFmtId="0" fontId="111" fillId="0" borderId="24" applyNumberFormat="0" applyAlignment="0" applyProtection="0">
      <alignment horizontal="left" vertical="center"/>
    </xf>
    <xf numFmtId="0" fontId="111" fillId="0" borderId="25">
      <alignment horizontal="left" vertical="center"/>
    </xf>
    <xf numFmtId="0" fontId="78" fillId="0" borderId="0">
      <protection locked="0"/>
    </xf>
    <xf numFmtId="0" fontId="78" fillId="0" borderId="0">
      <protection locked="0"/>
    </xf>
    <xf numFmtId="222" fontId="78" fillId="0" borderId="0">
      <protection locked="0"/>
    </xf>
    <xf numFmtId="222" fontId="78" fillId="0" borderId="0">
      <protection locked="0"/>
    </xf>
    <xf numFmtId="0" fontId="112" fillId="0" borderId="0" applyNumberFormat="0" applyFill="0" applyBorder="0" applyAlignment="0" applyProtection="0"/>
    <xf numFmtId="0" fontId="136" fillId="0" borderId="26" applyNumberFormat="0" applyFill="0" applyAlignment="0" applyProtection="0"/>
    <xf numFmtId="10" fontId="109" fillId="3" borderId="8" applyNumberFormat="0" applyBorder="0" applyAlignment="0" applyProtection="0"/>
    <xf numFmtId="176" fontId="71" fillId="0" borderId="0" applyFont="0" applyFill="0" applyBorder="0" applyAlignment="0" applyProtection="0"/>
    <xf numFmtId="237" fontId="19" fillId="0" borderId="0" applyFill="0" applyBorder="0" applyAlignment="0"/>
    <xf numFmtId="232" fontId="102" fillId="0" borderId="0" applyFill="0" applyBorder="0" applyAlignment="0"/>
    <xf numFmtId="237" fontId="19" fillId="0" borderId="0" applyFill="0" applyBorder="0" applyAlignment="0"/>
    <xf numFmtId="234" fontId="5" fillId="0" borderId="0" applyFill="0" applyBorder="0" applyAlignment="0"/>
    <xf numFmtId="232" fontId="102" fillId="0" borderId="0" applyFill="0" applyBorder="0" applyAlignment="0"/>
    <xf numFmtId="255" fontId="13" fillId="0" borderId="0" applyFont="0" applyFill="0" applyBorder="0" applyAlignment="0" applyProtection="0"/>
    <xf numFmtId="232" fontId="113" fillId="0" borderId="0">
      <alignment horizontal="left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14" fillId="0" borderId="27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7" fontId="115" fillId="0" borderId="0"/>
    <xf numFmtId="0" fontId="13" fillId="0" borderId="0"/>
    <xf numFmtId="201" fontId="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5" fillId="0" borderId="0"/>
    <xf numFmtId="189" fontId="13" fillId="0" borderId="0">
      <protection locked="0"/>
    </xf>
    <xf numFmtId="233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237" fontId="19" fillId="0" borderId="0" applyFill="0" applyBorder="0" applyAlignment="0"/>
    <xf numFmtId="232" fontId="102" fillId="0" borderId="0" applyFill="0" applyBorder="0" applyAlignment="0"/>
    <xf numFmtId="237" fontId="19" fillId="0" borderId="0" applyFill="0" applyBorder="0" applyAlignment="0"/>
    <xf numFmtId="234" fontId="5" fillId="0" borderId="0" applyFill="0" applyBorder="0" applyAlignment="0"/>
    <xf numFmtId="232" fontId="102" fillId="0" borderId="0" applyFill="0" applyBorder="0" applyAlignment="0"/>
    <xf numFmtId="0" fontId="117" fillId="5" borderId="0" applyNumberFormat="0">
      <alignment vertical="center"/>
    </xf>
    <xf numFmtId="30" fontId="118" fillId="0" borderId="0" applyNumberFormat="0" applyFill="0" applyBorder="0" applyAlignment="0" applyProtection="0">
      <alignment horizontal="left"/>
    </xf>
    <xf numFmtId="176" fontId="71" fillId="0" borderId="0" applyFont="0" applyFill="0" applyBorder="0" applyAlignment="0" applyProtection="0"/>
    <xf numFmtId="0" fontId="24" fillId="0" borderId="0"/>
    <xf numFmtId="0" fontId="119" fillId="0" borderId="0">
      <alignment horizontal="center" vertical="center"/>
    </xf>
    <xf numFmtId="0" fontId="120" fillId="0" borderId="0"/>
    <xf numFmtId="0" fontId="114" fillId="0" borderId="0"/>
    <xf numFmtId="40" fontId="121" fillId="0" borderId="0" applyBorder="0">
      <alignment horizontal="right"/>
    </xf>
    <xf numFmtId="250" fontId="122" fillId="0" borderId="0">
      <alignment horizontal="center"/>
    </xf>
    <xf numFmtId="49" fontId="106" fillId="0" borderId="0" applyFill="0" applyBorder="0" applyAlignment="0"/>
    <xf numFmtId="235" fontId="5" fillId="0" borderId="0" applyFill="0" applyBorder="0" applyAlignment="0"/>
    <xf numFmtId="236" fontId="5" fillId="0" borderId="0" applyFill="0" applyBorder="0" applyAlignment="0"/>
    <xf numFmtId="0" fontId="123" fillId="5" borderId="0">
      <alignment horizontal="centerContinuous"/>
    </xf>
    <xf numFmtId="0" fontId="124" fillId="0" borderId="0" applyFill="0" applyBorder="0" applyProtection="0">
      <alignment horizontal="centerContinuous" vertical="center"/>
    </xf>
    <xf numFmtId="0" fontId="22" fillId="3" borderId="0" applyFill="0" applyBorder="0" applyProtection="0">
      <alignment horizontal="center" vertical="center"/>
    </xf>
    <xf numFmtId="0" fontId="125" fillId="5" borderId="25">
      <alignment vertical="center"/>
    </xf>
    <xf numFmtId="0" fontId="126" fillId="0" borderId="0"/>
    <xf numFmtId="0" fontId="80" fillId="0" borderId="0" applyFont="0" applyFill="0" applyBorder="0" applyAlignment="0" applyProtection="0">
      <alignment horizontal="left"/>
    </xf>
    <xf numFmtId="0" fontId="82" fillId="0" borderId="21">
      <protection locked="0"/>
    </xf>
    <xf numFmtId="0" fontId="29" fillId="0" borderId="28">
      <alignment horizontal="left"/>
    </xf>
    <xf numFmtId="37" fontId="109" fillId="6" borderId="0" applyNumberFormat="0" applyBorder="0" applyAlignment="0" applyProtection="0"/>
    <xf numFmtId="37" fontId="109" fillId="0" borderId="0"/>
    <xf numFmtId="3" fontId="137" fillId="0" borderId="26" applyProtection="0"/>
    <xf numFmtId="268" fontId="24" fillId="0" borderId="0" applyFont="0" applyFill="0" applyBorder="0" applyAlignment="0" applyProtection="0"/>
    <xf numFmtId="269" fontId="24" fillId="0" borderId="0" applyFont="0" applyFill="0" applyBorder="0" applyAlignment="0" applyProtection="0"/>
    <xf numFmtId="0" fontId="127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244" fontId="3" fillId="0" borderId="0" applyFont="0" applyFill="0" applyBorder="0" applyAlignment="0" applyProtection="0"/>
    <xf numFmtId="214" fontId="5" fillId="0" borderId="0" applyFont="0" applyFill="0" applyBorder="0" applyAlignment="0" applyProtection="0"/>
    <xf numFmtId="0" fontId="128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6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14" fontId="5" fillId="0" borderId="0" applyFont="0" applyFill="0" applyBorder="0" applyAlignment="0" applyProtection="0"/>
    <xf numFmtId="0" fontId="5" fillId="0" borderId="0"/>
    <xf numFmtId="273" fontId="13" fillId="0" borderId="0" applyFill="0" applyBorder="0" applyProtection="0"/>
    <xf numFmtId="0" fontId="22" fillId="0" borderId="0"/>
    <xf numFmtId="0" fontId="24" fillId="0" borderId="1">
      <alignment horizontal="center"/>
    </xf>
    <xf numFmtId="3" fontId="13" fillId="0" borderId="0">
      <alignment vertical="center"/>
    </xf>
    <xf numFmtId="0" fontId="84" fillId="0" borderId="2">
      <alignment horizontal="centerContinuous" vertical="center"/>
    </xf>
    <xf numFmtId="0" fontId="26" fillId="0" borderId="2">
      <alignment horizontal="centerContinuous" vertical="center"/>
    </xf>
    <xf numFmtId="0" fontId="84" fillId="0" borderId="2">
      <alignment horizontal="centerContinuous" vertical="center"/>
    </xf>
    <xf numFmtId="0" fontId="84" fillId="0" borderId="2">
      <alignment horizontal="centerContinuous" vertical="center"/>
    </xf>
    <xf numFmtId="0" fontId="84" fillId="0" borderId="2">
      <alignment horizontal="centerContinuous" vertical="center"/>
    </xf>
    <xf numFmtId="0" fontId="84" fillId="0" borderId="2">
      <alignment horizontal="centerContinuous" vertical="center"/>
    </xf>
    <xf numFmtId="0" fontId="84" fillId="0" borderId="2">
      <alignment horizontal="centerContinuous" vertical="center"/>
    </xf>
    <xf numFmtId="0" fontId="84" fillId="0" borderId="2">
      <alignment horizontal="centerContinuous" vertical="center"/>
    </xf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5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18" fontId="3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4" fontId="24" fillId="0" borderId="0" applyFont="0" applyFill="0" applyBorder="0" applyAlignment="0" applyProtection="0"/>
    <xf numFmtId="276" fontId="86" fillId="0" borderId="0" applyFont="0" applyFill="0" applyBorder="0" applyAlignment="0" applyProtection="0">
      <alignment vertical="center"/>
    </xf>
    <xf numFmtId="40" fontId="13" fillId="0" borderId="9"/>
    <xf numFmtId="38" fontId="13" fillId="0" borderId="17">
      <alignment horizontal="right"/>
    </xf>
    <xf numFmtId="277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219" fontId="81" fillId="0" borderId="0" applyFont="0" applyFill="0" applyBorder="0" applyAlignment="0" applyProtection="0"/>
    <xf numFmtId="0" fontId="148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36" fillId="0" borderId="0"/>
    <xf numFmtId="0" fontId="150" fillId="0" borderId="0" applyFont="0" applyFill="0" applyBorder="0" applyAlignment="0" applyProtection="0"/>
    <xf numFmtId="0" fontId="20" fillId="0" borderId="0"/>
    <xf numFmtId="0" fontId="5" fillId="0" borderId="0" applyNumberFormat="0" applyFill="0" applyBorder="0" applyAlignment="0" applyProtection="0"/>
    <xf numFmtId="0" fontId="151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20" fillId="0" borderId="33">
      <alignment vertical="center"/>
    </xf>
    <xf numFmtId="0" fontId="20" fillId="0" borderId="33">
      <alignment vertical="center"/>
    </xf>
    <xf numFmtId="0" fontId="3" fillId="0" borderId="33">
      <alignment vertical="center"/>
    </xf>
    <xf numFmtId="0" fontId="5" fillId="0" borderId="0"/>
    <xf numFmtId="0" fontId="5" fillId="0" borderId="0"/>
    <xf numFmtId="0" fontId="3" fillId="0" borderId="0"/>
    <xf numFmtId="0" fontId="19" fillId="0" borderId="0"/>
    <xf numFmtId="0" fontId="19" fillId="0" borderId="0"/>
    <xf numFmtId="0" fontId="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19" fillId="0" borderId="0"/>
    <xf numFmtId="0" fontId="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3" fillId="0" borderId="0"/>
    <xf numFmtId="0" fontId="13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4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0" fontId="13" fillId="0" borderId="0"/>
    <xf numFmtId="0" fontId="5" fillId="0" borderId="0"/>
    <xf numFmtId="0" fontId="19" fillId="0" borderId="0"/>
    <xf numFmtId="222" fontId="82" fillId="0" borderId="0">
      <protection locked="0"/>
    </xf>
    <xf numFmtId="0" fontId="1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74" fillId="0" borderId="0"/>
    <xf numFmtId="0" fontId="5" fillId="0" borderId="0"/>
    <xf numFmtId="0" fontId="5" fillId="0" borderId="0"/>
    <xf numFmtId="222" fontId="82" fillId="0" borderId="0">
      <protection locked="0"/>
    </xf>
    <xf numFmtId="0" fontId="5" fillId="0" borderId="0"/>
    <xf numFmtId="0" fontId="19" fillId="0" borderId="0" applyFont="0" applyFill="0" applyBorder="0" applyAlignment="0" applyProtection="0"/>
    <xf numFmtId="0" fontId="13" fillId="0" borderId="0"/>
    <xf numFmtId="0" fontId="5" fillId="0" borderId="0"/>
    <xf numFmtId="0" fontId="7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 applyFont="0" applyFill="0" applyBorder="0" applyAlignment="0" applyProtection="0"/>
    <xf numFmtId="0" fontId="13" fillId="0" borderId="0"/>
    <xf numFmtId="0" fontId="19" fillId="0" borderId="0" applyFont="0" applyFill="0" applyBorder="0" applyAlignment="0" applyProtection="0"/>
    <xf numFmtId="0" fontId="13" fillId="0" borderId="0"/>
    <xf numFmtId="0" fontId="5" fillId="0" borderId="0"/>
    <xf numFmtId="0" fontId="19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22" fillId="0" borderId="0" applyFont="0" applyFill="0" applyBorder="0" applyAlignment="0" applyProtection="0"/>
    <xf numFmtId="0" fontId="5" fillId="0" borderId="0"/>
    <xf numFmtId="0" fontId="24" fillId="0" borderId="0"/>
    <xf numFmtId="0" fontId="3" fillId="0" borderId="0"/>
    <xf numFmtId="222" fontId="82" fillId="0" borderId="0">
      <protection locked="0"/>
    </xf>
    <xf numFmtId="0" fontId="5" fillId="0" borderId="0"/>
    <xf numFmtId="0" fontId="13" fillId="0" borderId="0"/>
    <xf numFmtId="0" fontId="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0" fontId="13" fillId="0" borderId="0"/>
    <xf numFmtId="0" fontId="19" fillId="0" borderId="0"/>
    <xf numFmtId="0" fontId="5" fillId="0" borderId="0"/>
    <xf numFmtId="222" fontId="82" fillId="0" borderId="0">
      <protection locked="0"/>
    </xf>
    <xf numFmtId="278" fontId="3" fillId="0" borderId="0">
      <protection locked="0"/>
    </xf>
    <xf numFmtId="0" fontId="19" fillId="0" borderId="0" applyFont="0" applyFill="0" applyBorder="0" applyAlignment="0" applyProtection="0"/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0" fontId="13" fillId="0" borderId="0"/>
    <xf numFmtId="222" fontId="82" fillId="0" borderId="0">
      <protection locked="0"/>
    </xf>
    <xf numFmtId="0" fontId="74" fillId="0" borderId="0"/>
    <xf numFmtId="0" fontId="5" fillId="0" borderId="0"/>
    <xf numFmtId="0" fontId="74" fillId="0" borderId="0"/>
    <xf numFmtId="0" fontId="5" fillId="0" borderId="0"/>
    <xf numFmtId="0" fontId="3" fillId="0" borderId="0"/>
    <xf numFmtId="0" fontId="74" fillId="0" borderId="0"/>
    <xf numFmtId="0" fontId="5" fillId="0" borderId="0"/>
    <xf numFmtId="0" fontId="74" fillId="0" borderId="0"/>
    <xf numFmtId="0" fontId="3" fillId="0" borderId="0"/>
    <xf numFmtId="0" fontId="74" fillId="0" borderId="0"/>
    <xf numFmtId="0" fontId="74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5" fillId="0" borderId="0"/>
    <xf numFmtId="0" fontId="5" fillId="0" borderId="0"/>
    <xf numFmtId="0" fontId="152" fillId="0" borderId="0"/>
    <xf numFmtId="0" fontId="5" fillId="0" borderId="0"/>
    <xf numFmtId="0" fontId="5" fillId="0" borderId="0"/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0" fontId="74" fillId="0" borderId="0"/>
    <xf numFmtId="0" fontId="19" fillId="0" borderId="0" applyFont="0" applyFill="0" applyBorder="0" applyAlignment="0" applyProtection="0"/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0" fontId="19" fillId="0" borderId="0" applyFont="0" applyFill="0" applyBorder="0" applyAlignment="0" applyProtection="0"/>
    <xf numFmtId="278" fontId="3" fillId="0" borderId="0">
      <protection locked="0"/>
    </xf>
    <xf numFmtId="0" fontId="19" fillId="0" borderId="0"/>
    <xf numFmtId="0" fontId="13" fillId="0" borderId="0"/>
    <xf numFmtId="0" fontId="19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3" fillId="0" borderId="0"/>
    <xf numFmtId="0" fontId="13" fillId="0" borderId="0"/>
    <xf numFmtId="0" fontId="19" fillId="0" borderId="0"/>
    <xf numFmtId="0" fontId="5" fillId="0" borderId="0"/>
    <xf numFmtId="0" fontId="5" fillId="0" borderId="0" applyFont="0" applyFill="0" applyBorder="0" applyAlignment="0" applyProtection="0"/>
    <xf numFmtId="0" fontId="13" fillId="0" borderId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74" fillId="0" borderId="0"/>
    <xf numFmtId="0" fontId="5" fillId="0" borderId="0"/>
    <xf numFmtId="176" fontId="153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4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 applyFont="0" applyFill="0" applyBorder="0" applyAlignment="0" applyProtection="0"/>
    <xf numFmtId="0" fontId="24" fillId="0" borderId="0"/>
    <xf numFmtId="0" fontId="13" fillId="0" borderId="0"/>
    <xf numFmtId="0" fontId="5" fillId="0" borderId="0"/>
    <xf numFmtId="0" fontId="24" fillId="0" borderId="0"/>
    <xf numFmtId="0" fontId="24" fillId="0" borderId="0"/>
    <xf numFmtId="0" fontId="5" fillId="0" borderId="0"/>
    <xf numFmtId="0" fontId="24" fillId="0" borderId="0"/>
    <xf numFmtId="0" fontId="5" fillId="0" borderId="0"/>
    <xf numFmtId="0" fontId="3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74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9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74" fillId="0" borderId="0"/>
    <xf numFmtId="0" fontId="22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4" fillId="0" borderId="0"/>
    <xf numFmtId="176" fontId="153" fillId="0" borderId="0" applyFont="0" applyFill="0" applyBorder="0" applyAlignment="0" applyProtection="0"/>
    <xf numFmtId="0" fontId="5" fillId="0" borderId="0"/>
    <xf numFmtId="0" fontId="74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3" fillId="0" borderId="0"/>
    <xf numFmtId="0" fontId="26" fillId="0" borderId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" fillId="0" borderId="0"/>
    <xf numFmtId="0" fontId="74" fillId="0" borderId="0"/>
    <xf numFmtId="0" fontId="7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3" fillId="0" borderId="0"/>
    <xf numFmtId="0" fontId="13" fillId="0" borderId="0" applyFont="0" applyFill="0" applyBorder="0" applyAlignment="0" applyProtection="0">
      <alignment vertical="center"/>
    </xf>
    <xf numFmtId="0" fontId="13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7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3" fillId="0" borderId="0"/>
    <xf numFmtId="0" fontId="3" fillId="0" borderId="0"/>
    <xf numFmtId="222" fontId="82" fillId="0" borderId="0">
      <protection locked="0"/>
    </xf>
    <xf numFmtId="0" fontId="5" fillId="0" borderId="0"/>
    <xf numFmtId="0" fontId="7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3" fillId="0" borderId="0"/>
    <xf numFmtId="222" fontId="82" fillId="0" borderId="0">
      <protection locked="0"/>
    </xf>
    <xf numFmtId="0" fontId="19" fillId="0" borderId="0" applyFont="0" applyFill="0" applyBorder="0" applyAlignment="0" applyProtection="0"/>
    <xf numFmtId="0" fontId="74" fillId="0" borderId="0"/>
    <xf numFmtId="0" fontId="13" fillId="0" borderId="0"/>
    <xf numFmtId="0" fontId="3" fillId="0" borderId="0" applyFont="0" applyFill="0" applyBorder="0" applyAlignment="0" applyProtection="0"/>
    <xf numFmtId="0" fontId="13" fillId="0" borderId="0"/>
    <xf numFmtId="0" fontId="5" fillId="0" borderId="0"/>
    <xf numFmtId="0" fontId="5" fillId="0" borderId="0"/>
    <xf numFmtId="0" fontId="5" fillId="0" borderId="0"/>
    <xf numFmtId="0" fontId="7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74" fillId="0" borderId="0"/>
    <xf numFmtId="0" fontId="74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9" fillId="0" borderId="0" applyFont="0" applyFill="0" applyBorder="0" applyAlignment="0" applyProtection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13" fillId="0" borderId="0"/>
    <xf numFmtId="0" fontId="19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/>
    <xf numFmtId="0" fontId="5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13" fillId="0" borderId="0" applyFont="0" applyFill="0" applyBorder="0" applyAlignment="0" applyProtection="0"/>
    <xf numFmtId="0" fontId="5" fillId="0" borderId="0"/>
    <xf numFmtId="0" fontId="74" fillId="0" borderId="0"/>
    <xf numFmtId="0" fontId="24" fillId="0" borderId="0"/>
    <xf numFmtId="0" fontId="19" fillId="0" borderId="0" applyFont="0" applyFill="0" applyBorder="0" applyAlignment="0" applyProtection="0"/>
    <xf numFmtId="0" fontId="74" fillId="0" borderId="0"/>
    <xf numFmtId="0" fontId="5" fillId="0" borderId="0"/>
    <xf numFmtId="0" fontId="19" fillId="0" borderId="0"/>
    <xf numFmtId="0" fontId="13" fillId="0" borderId="0"/>
    <xf numFmtId="0" fontId="19" fillId="0" borderId="0" applyFont="0" applyFill="0" applyBorder="0" applyAlignment="0" applyProtection="0"/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278" fontId="3" fillId="0" borderId="0">
      <protection locked="0"/>
    </xf>
    <xf numFmtId="0" fontId="13" fillId="0" borderId="0"/>
    <xf numFmtId="0" fontId="5" fillId="0" borderId="0"/>
    <xf numFmtId="0" fontId="74" fillId="0" borderId="0"/>
    <xf numFmtId="0" fontId="7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6" fontId="153" fillId="0" borderId="0" applyFont="0" applyFill="0" applyBorder="0" applyAlignment="0" applyProtection="0"/>
    <xf numFmtId="176" fontId="153" fillId="0" borderId="0" applyFont="0" applyFill="0" applyBorder="0" applyAlignment="0" applyProtection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06" fillId="0" borderId="0"/>
    <xf numFmtId="0" fontId="13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13" fillId="0" borderId="0"/>
    <xf numFmtId="278" fontId="3" fillId="0" borderId="0">
      <protection locked="0"/>
    </xf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74" fillId="0" borderId="0"/>
    <xf numFmtId="0" fontId="7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 applyFont="0" applyFill="0" applyBorder="0" applyAlignment="0" applyProtection="0"/>
    <xf numFmtId="0" fontId="5" fillId="0" borderId="0"/>
    <xf numFmtId="0" fontId="24" fillId="0" borderId="0"/>
    <xf numFmtId="0" fontId="24" fillId="0" borderId="0"/>
    <xf numFmtId="0" fontId="5" fillId="0" borderId="0"/>
    <xf numFmtId="0" fontId="24" fillId="0" borderId="0"/>
    <xf numFmtId="0" fontId="19" fillId="0" borderId="0"/>
    <xf numFmtId="0" fontId="3" fillId="0" borderId="0"/>
    <xf numFmtId="0" fontId="5" fillId="0" borderId="0"/>
    <xf numFmtId="0" fontId="74" fillId="0" borderId="0"/>
    <xf numFmtId="0" fontId="74" fillId="0" borderId="0"/>
    <xf numFmtId="0" fontId="74" fillId="0" borderId="0"/>
    <xf numFmtId="0" fontId="19" fillId="0" borderId="0" applyFont="0" applyFill="0" applyBorder="0" applyAlignment="0" applyProtection="0"/>
    <xf numFmtId="0" fontId="5" fillId="0" borderId="0"/>
    <xf numFmtId="0" fontId="154" fillId="0" borderId="0"/>
    <xf numFmtId="0" fontId="5" fillId="0" borderId="0"/>
    <xf numFmtId="0" fontId="24" fillId="0" borderId="0"/>
    <xf numFmtId="0" fontId="24" fillId="0" borderId="0"/>
    <xf numFmtId="0" fontId="5" fillId="0" borderId="0"/>
    <xf numFmtId="0" fontId="24" fillId="0" borderId="0"/>
    <xf numFmtId="0" fontId="5" fillId="0" borderId="0"/>
    <xf numFmtId="0" fontId="19" fillId="0" borderId="0"/>
    <xf numFmtId="0" fontId="13" fillId="0" borderId="0"/>
    <xf numFmtId="0" fontId="19" fillId="0" borderId="0"/>
    <xf numFmtId="0" fontId="13" fillId="0" borderId="0"/>
    <xf numFmtId="0" fontId="19" fillId="0" borderId="0"/>
    <xf numFmtId="0" fontId="13" fillId="0" borderId="0"/>
    <xf numFmtId="0" fontId="22" fillId="0" borderId="0" applyFont="0" applyFill="0" applyBorder="0" applyAlignment="0" applyProtection="0"/>
    <xf numFmtId="0" fontId="5" fillId="0" borderId="0"/>
    <xf numFmtId="222" fontId="82" fillId="0" borderId="0">
      <protection locked="0"/>
    </xf>
    <xf numFmtId="278" fontId="3" fillId="0" borderId="0">
      <protection locked="0"/>
    </xf>
    <xf numFmtId="0" fontId="24" fillId="0" borderId="0"/>
    <xf numFmtId="0" fontId="34" fillId="0" borderId="0"/>
    <xf numFmtId="0" fontId="52" fillId="0" borderId="0"/>
    <xf numFmtId="279" fontId="86" fillId="0" borderId="0" applyFont="0" applyFill="0" applyBorder="0" applyProtection="0">
      <alignment vertical="center"/>
    </xf>
    <xf numFmtId="280" fontId="86" fillId="0" borderId="0">
      <alignment vertical="center"/>
    </xf>
    <xf numFmtId="281" fontId="86" fillId="0" borderId="0" applyFont="0" applyFill="0" applyBorder="0" applyAlignment="0" applyProtection="0">
      <alignment vertical="center"/>
    </xf>
    <xf numFmtId="218" fontId="5" fillId="0" borderId="0" applyFont="0" applyFill="0" applyBorder="0" applyAlignment="0" applyProtection="0"/>
    <xf numFmtId="3" fontId="71" fillId="0" borderId="8"/>
    <xf numFmtId="3" fontId="71" fillId="0" borderId="8"/>
    <xf numFmtId="248" fontId="155" fillId="0" borderId="0">
      <alignment vertical="center"/>
    </xf>
    <xf numFmtId="218" fontId="5" fillId="0" borderId="0" applyFont="0" applyFill="0" applyBorder="0" applyAlignment="0" applyProtection="0"/>
    <xf numFmtId="0" fontId="20" fillId="0" borderId="0">
      <alignment horizontal="center" vertical="center"/>
    </xf>
    <xf numFmtId="0" fontId="22" fillId="0" borderId="0"/>
    <xf numFmtId="0" fontId="22" fillId="0" borderId="0"/>
    <xf numFmtId="0" fontId="20" fillId="0" borderId="0">
      <alignment horizontal="center" vertical="center"/>
    </xf>
    <xf numFmtId="0" fontId="22" fillId="0" borderId="0"/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0" fontId="22" fillId="0" borderId="0"/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17" fontId="156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59" fontId="3" fillId="0" borderId="0">
      <alignment horizontal="center" vertical="center"/>
    </xf>
    <xf numFmtId="282" fontId="148" fillId="0" borderId="0">
      <alignment horizontal="center" vertical="center"/>
    </xf>
    <xf numFmtId="3" fontId="76" fillId="0" borderId="3">
      <alignment horizontal="right" vertical="center"/>
    </xf>
    <xf numFmtId="0" fontId="22" fillId="0" borderId="0"/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76" fillId="0" borderId="3">
      <alignment horizontal="right" vertical="center"/>
    </xf>
    <xf numFmtId="3" fontId="76" fillId="0" borderId="3">
      <alignment horizontal="right" vertical="center"/>
    </xf>
    <xf numFmtId="0" fontId="22" fillId="0" borderId="0"/>
    <xf numFmtId="0" fontId="157" fillId="0" borderId="0">
      <alignment horizontal="center" vertical="center"/>
    </xf>
    <xf numFmtId="3" fontId="76" fillId="0" borderId="3">
      <alignment horizontal="right" vertical="center"/>
    </xf>
    <xf numFmtId="0" fontId="22" fillId="0" borderId="0"/>
    <xf numFmtId="0" fontId="20" fillId="0" borderId="0">
      <alignment horizontal="center" vertical="center"/>
    </xf>
    <xf numFmtId="0" fontId="24" fillId="0" borderId="18"/>
    <xf numFmtId="4" fontId="158" fillId="0" borderId="49">
      <alignment vertical="center"/>
    </xf>
    <xf numFmtId="0" fontId="13" fillId="0" borderId="0"/>
    <xf numFmtId="278" fontId="3" fillId="0" borderId="0">
      <protection locked="0"/>
    </xf>
    <xf numFmtId="222" fontId="159" fillId="0" borderId="0">
      <protection locked="0"/>
    </xf>
    <xf numFmtId="0" fontId="13" fillId="0" borderId="28">
      <alignment horizont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" fontId="76" fillId="0" borderId="3">
      <alignment horizontal="right"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72" fontId="40" fillId="0" borderId="50">
      <alignment vertical="center"/>
    </xf>
    <xf numFmtId="0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0" fontId="40" fillId="0" borderId="50">
      <alignment vertical="center"/>
    </xf>
    <xf numFmtId="0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0" fontId="52" fillId="0" borderId="50">
      <alignment vertical="center"/>
    </xf>
    <xf numFmtId="272" fontId="40" fillId="0" borderId="50">
      <alignment vertical="center"/>
    </xf>
    <xf numFmtId="0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0" fontId="40" fillId="0" borderId="50">
      <alignment vertical="center"/>
    </xf>
    <xf numFmtId="0" fontId="40" fillId="0" borderId="50">
      <alignment vertical="center"/>
    </xf>
    <xf numFmtId="272" fontId="40" fillId="0" borderId="50">
      <alignment vertical="center"/>
    </xf>
    <xf numFmtId="260" fontId="3" fillId="0" borderId="50">
      <alignment vertical="center"/>
    </xf>
    <xf numFmtId="260" fontId="3" fillId="0" borderId="50">
      <alignment vertical="center"/>
    </xf>
    <xf numFmtId="283" fontId="40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248" fontId="52" fillId="0" borderId="50">
      <alignment vertical="center"/>
    </xf>
    <xf numFmtId="0" fontId="13" fillId="0" borderId="0"/>
    <xf numFmtId="0" fontId="97" fillId="0" borderId="0"/>
    <xf numFmtId="0" fontId="13" fillId="0" borderId="0"/>
    <xf numFmtId="0" fontId="160" fillId="0" borderId="51">
      <alignment horizontal="center" vertical="center"/>
    </xf>
    <xf numFmtId="284" fontId="13" fillId="0" borderId="0"/>
    <xf numFmtId="0" fontId="86" fillId="0" borderId="52">
      <alignment horizontal="center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285" fontId="13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49" fontId="161" fillId="0" borderId="53">
      <alignment horizontal="center" vertical="center" wrapText="1"/>
    </xf>
    <xf numFmtId="0" fontId="162" fillId="0" borderId="0"/>
    <xf numFmtId="0" fontId="20" fillId="0" borderId="0"/>
    <xf numFmtId="286" fontId="13" fillId="0" borderId="0"/>
    <xf numFmtId="0" fontId="89" fillId="0" borderId="19" applyFill="0"/>
    <xf numFmtId="0" fontId="3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49" fontId="3" fillId="0" borderId="0" applyFont="0" applyFill="0" applyBorder="0" applyAlignment="0" applyProtection="0"/>
    <xf numFmtId="0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49" fontId="163" fillId="0" borderId="53">
      <alignment horizontal="center" vertical="center" wrapText="1"/>
    </xf>
    <xf numFmtId="0" fontId="93" fillId="0" borderId="0" applyFont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0" fontId="164" fillId="0" borderId="0" applyFont="0" applyFill="0" applyBorder="0" applyAlignment="0" applyProtection="0"/>
    <xf numFmtId="38" fontId="164" fillId="0" borderId="0" applyFont="0" applyFill="0" applyBorder="0" applyAlignment="0" applyProtection="0"/>
    <xf numFmtId="0" fontId="13" fillId="0" borderId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5" fillId="0" borderId="0"/>
    <xf numFmtId="287" fontId="86" fillId="0" borderId="0" applyFont="0" applyFill="0" applyBorder="0" applyProtection="0">
      <alignment horizontal="center" vertical="center"/>
    </xf>
    <xf numFmtId="288" fontId="86" fillId="0" borderId="0" applyFont="0" applyFill="0" applyBorder="0" applyProtection="0">
      <alignment horizontal="center" vertical="center"/>
    </xf>
    <xf numFmtId="0" fontId="166" fillId="0" borderId="8">
      <alignment vertical="center" wrapText="1"/>
    </xf>
    <xf numFmtId="0" fontId="1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6" fillId="0" borderId="54"/>
    <xf numFmtId="4" fontId="167" fillId="0" borderId="0" applyNumberFormat="0" applyFill="0" applyBorder="0" applyAlignment="0">
      <alignment horizontal="centerContinuous" vertical="center"/>
    </xf>
    <xf numFmtId="0" fontId="168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248" fontId="169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13" fillId="0" borderId="0"/>
    <xf numFmtId="290" fontId="13" fillId="0" borderId="0" applyFont="0" applyFill="0" applyBorder="0" applyAlignment="0" applyProtection="0"/>
    <xf numFmtId="282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41" fontId="3" fillId="0" borderId="0" applyFont="0" applyFill="0" applyBorder="0" applyAlignment="0" applyProtection="0"/>
    <xf numFmtId="222" fontId="82" fillId="0" borderId="0">
      <protection locked="0"/>
    </xf>
    <xf numFmtId="0" fontId="24" fillId="0" borderId="0"/>
    <xf numFmtId="0" fontId="20" fillId="0" borderId="0">
      <alignment horizontal="center"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0" fontId="1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0" fontId="1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0" fontId="13" fillId="0" borderId="0">
      <protection locked="0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1" fontId="86" fillId="0" borderId="8" applyNumberFormat="0" applyFont="0" applyFill="0" applyBorder="0" applyProtection="0">
      <alignment horizontal="distributed"/>
    </xf>
    <xf numFmtId="40" fontId="13" fillId="0" borderId="0">
      <protection locked="0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1" fontId="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1" fontId="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1" fontId="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1" fontId="3" fillId="0" borderId="0" applyFont="0" applyFill="0" applyBorder="0" applyAlignment="0" applyProtection="0"/>
    <xf numFmtId="40" fontId="13" fillId="0" borderId="0">
      <protection locked="0"/>
    </xf>
    <xf numFmtId="41" fontId="3" fillId="0" borderId="0" applyFont="0" applyFill="0" applyBorder="0" applyAlignment="0" applyProtection="0"/>
    <xf numFmtId="40" fontId="1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0" fontId="13" fillId="0" borderId="0">
      <protection locked="0"/>
    </xf>
    <xf numFmtId="41" fontId="148" fillId="0" borderId="0">
      <alignment horizontal="center"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75" fillId="0" borderId="0">
      <alignment vertical="center"/>
    </xf>
    <xf numFmtId="41" fontId="17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/>
    <xf numFmtId="0" fontId="3" fillId="0" borderId="0">
      <alignment vertical="center"/>
    </xf>
    <xf numFmtId="0" fontId="20" fillId="0" borderId="0">
      <alignment horizontal="center" vertical="center"/>
    </xf>
    <xf numFmtId="176" fontId="69" fillId="0" borderId="0" applyFont="0" applyFill="0" applyBorder="0" applyAlignment="0" applyProtection="0"/>
    <xf numFmtId="0" fontId="3" fillId="0" borderId="0">
      <alignment vertical="center"/>
    </xf>
    <xf numFmtId="0" fontId="176" fillId="0" borderId="0">
      <alignment vertical="center"/>
    </xf>
    <xf numFmtId="0" fontId="13" fillId="0" borderId="0" applyFont="0" applyFill="0" applyBorder="0" applyAlignment="0" applyProtection="0"/>
    <xf numFmtId="176" fontId="71" fillId="0" borderId="0" applyFont="0" applyFill="0" applyBorder="0" applyAlignment="0" applyProtection="0"/>
    <xf numFmtId="0" fontId="3" fillId="0" borderId="0">
      <alignment vertical="center"/>
    </xf>
    <xf numFmtId="176" fontId="71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0" fontId="19" fillId="0" borderId="0"/>
    <xf numFmtId="0" fontId="3" fillId="0" borderId="0"/>
    <xf numFmtId="41" fontId="3" fillId="0" borderId="0" applyFont="0" applyFill="0" applyBorder="0" applyAlignment="0" applyProtection="0">
      <alignment vertical="center"/>
    </xf>
    <xf numFmtId="0" fontId="13" fillId="0" borderId="0"/>
    <xf numFmtId="282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 applyFont="0" applyFill="0" applyBorder="0" applyAlignment="0" applyProtection="0"/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86" fillId="0" borderId="8" applyNumberFormat="0" applyFont="0" applyFill="0" applyBorder="0" applyProtection="0">
      <alignment horizontal="distributed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0" fontId="13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13" fillId="0" borderId="0">
      <alignment horizontal="center" vertical="center"/>
    </xf>
    <xf numFmtId="41" fontId="86" fillId="0" borderId="8" applyNumberFormat="0" applyFont="0" applyFill="0" applyBorder="0" applyProtection="0">
      <alignment horizontal="distributed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48" fillId="0" borderId="0">
      <alignment horizontal="center"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17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7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687">
    <xf numFmtId="0" fontId="0" fillId="0" borderId="0" xfId="0"/>
    <xf numFmtId="0" fontId="0" fillId="0" borderId="30" xfId="0" applyBorder="1" applyAlignment="1">
      <alignment horizontal="left"/>
    </xf>
    <xf numFmtId="0" fontId="40" fillId="0" borderId="30" xfId="0" applyFont="1" applyBorder="1"/>
    <xf numFmtId="0" fontId="12" fillId="0" borderId="0" xfId="2301" applyFont="1" applyAlignment="1">
      <alignment vertical="center"/>
    </xf>
    <xf numFmtId="0" fontId="3" fillId="0" borderId="0" xfId="2301" applyAlignment="1">
      <alignment vertical="center"/>
    </xf>
    <xf numFmtId="0" fontId="3" fillId="0" borderId="0" xfId="2301"/>
    <xf numFmtId="184" fontId="19" fillId="0" borderId="0" xfId="2294" applyNumberFormat="1" applyAlignment="1">
      <alignment vertical="center"/>
    </xf>
    <xf numFmtId="184" fontId="19" fillId="0" borderId="0" xfId="2294" applyNumberFormat="1" applyAlignment="1">
      <alignment horizontal="center" vertical="center"/>
    </xf>
    <xf numFmtId="184" fontId="19" fillId="0" borderId="0" xfId="2194" applyNumberFormat="1" applyAlignment="1">
      <alignment vertical="center"/>
    </xf>
    <xf numFmtId="184" fontId="19" fillId="7" borderId="0" xfId="2294" applyNumberFormat="1" applyFill="1" applyAlignment="1">
      <alignment vertical="center"/>
    </xf>
    <xf numFmtId="41" fontId="19" fillId="0" borderId="0" xfId="2186" applyFont="1" applyAlignment="1">
      <alignment horizontal="right" vertical="center"/>
    </xf>
    <xf numFmtId="184" fontId="19" fillId="0" borderId="0" xfId="2294" applyNumberFormat="1"/>
    <xf numFmtId="184" fontId="19" fillId="0" borderId="0" xfId="2294" applyNumberFormat="1" applyAlignment="1">
      <alignment horizontal="center"/>
    </xf>
    <xf numFmtId="184" fontId="19" fillId="0" borderId="0" xfId="2194" applyNumberFormat="1"/>
    <xf numFmtId="0" fontId="19" fillId="0" borderId="0" xfId="2294" applyAlignment="1">
      <alignment horizontal="center"/>
    </xf>
    <xf numFmtId="41" fontId="10" fillId="0" borderId="2" xfId="2186" applyFont="1" applyBorder="1" applyAlignment="1">
      <alignment vertical="center"/>
    </xf>
    <xf numFmtId="41" fontId="10" fillId="0" borderId="31" xfId="2186" applyFont="1" applyBorder="1" applyAlignment="1">
      <alignment vertical="center"/>
    </xf>
    <xf numFmtId="41" fontId="10" fillId="0" borderId="8" xfId="2186" applyFont="1" applyBorder="1" applyAlignment="1">
      <alignment vertical="center"/>
    </xf>
    <xf numFmtId="3" fontId="10" fillId="0" borderId="8" xfId="2186" applyNumberFormat="1" applyFont="1" applyBorder="1" applyAlignment="1">
      <alignment vertical="center"/>
    </xf>
    <xf numFmtId="3" fontId="18" fillId="0" borderId="8" xfId="2186" applyNumberFormat="1" applyFont="1" applyBorder="1" applyAlignment="1">
      <alignment vertical="center"/>
    </xf>
    <xf numFmtId="41" fontId="10" fillId="0" borderId="0" xfId="2186" applyFont="1" applyAlignment="1">
      <alignment vertical="center"/>
    </xf>
    <xf numFmtId="0" fontId="10" fillId="0" borderId="8" xfId="2186" applyNumberFormat="1" applyFont="1" applyFill="1" applyBorder="1" applyAlignment="1">
      <alignment horizontal="center" vertical="center"/>
    </xf>
    <xf numFmtId="0" fontId="10" fillId="0" borderId="8" xfId="2186" applyNumberFormat="1" applyFont="1" applyFill="1" applyBorder="1" applyAlignment="1">
      <alignment vertical="center"/>
    </xf>
    <xf numFmtId="41" fontId="10" fillId="0" borderId="8" xfId="2186" applyFont="1" applyFill="1" applyBorder="1" applyAlignment="1">
      <alignment vertical="center"/>
    </xf>
    <xf numFmtId="41" fontId="10" fillId="0" borderId="8" xfId="2186" applyFont="1" applyFill="1" applyBorder="1" applyAlignment="1">
      <alignment horizontal="right" vertical="center"/>
    </xf>
    <xf numFmtId="0" fontId="9" fillId="0" borderId="8" xfId="2186" applyNumberFormat="1" applyFont="1" applyFill="1" applyBorder="1" applyAlignment="1">
      <alignment vertical="center"/>
    </xf>
    <xf numFmtId="41" fontId="10" fillId="0" borderId="8" xfId="2290" applyNumberFormat="1" applyFont="1" applyBorder="1" applyAlignment="1">
      <alignment vertical="center"/>
    </xf>
    <xf numFmtId="3" fontId="10" fillId="0" borderId="8" xfId="2290" applyNumberFormat="1" applyFont="1" applyBorder="1" applyAlignment="1">
      <alignment vertical="center"/>
    </xf>
    <xf numFmtId="185" fontId="9" fillId="0" borderId="8" xfId="2186" applyNumberFormat="1" applyFont="1" applyFill="1" applyBorder="1" applyAlignment="1">
      <alignment vertical="center"/>
    </xf>
    <xf numFmtId="3" fontId="10" fillId="0" borderId="8" xfId="2186" applyNumberFormat="1" applyFont="1" applyFill="1" applyBorder="1" applyAlignment="1">
      <alignment horizontal="right" vertical="center"/>
    </xf>
    <xf numFmtId="0" fontId="9" fillId="0" borderId="0" xfId="2186" applyNumberFormat="1" applyFont="1" applyFill="1" applyBorder="1" applyAlignment="1">
      <alignment vertical="center"/>
    </xf>
    <xf numFmtId="3" fontId="10" fillId="0" borderId="8" xfId="2186" quotePrefix="1" applyNumberFormat="1" applyFont="1" applyFill="1" applyBorder="1" applyAlignment="1">
      <alignment horizontal="center" vertical="center"/>
    </xf>
    <xf numFmtId="3" fontId="9" fillId="0" borderId="0" xfId="2186" applyNumberFormat="1" applyFont="1" applyFill="1" applyBorder="1" applyAlignment="1"/>
    <xf numFmtId="38" fontId="9" fillId="0" borderId="0" xfId="2186" applyNumberFormat="1" applyFont="1" applyFill="1" applyBorder="1" applyAlignment="1"/>
    <xf numFmtId="41" fontId="9" fillId="0" borderId="0" xfId="2186" applyFont="1" applyFill="1" applyBorder="1" applyAlignment="1"/>
    <xf numFmtId="3" fontId="9" fillId="0" borderId="4" xfId="2186" applyNumberFormat="1" applyFont="1" applyFill="1" applyBorder="1" applyAlignment="1"/>
    <xf numFmtId="38" fontId="9" fillId="0" borderId="4" xfId="2186" applyNumberFormat="1" applyFont="1" applyFill="1" applyBorder="1" applyAlignment="1"/>
    <xf numFmtId="41" fontId="9" fillId="0" borderId="4" xfId="2186" applyFont="1" applyFill="1" applyBorder="1" applyAlignment="1"/>
    <xf numFmtId="0" fontId="10" fillId="0" borderId="30" xfId="2299" applyFont="1" applyBorder="1" applyAlignment="1">
      <alignment horizontal="left" vertical="center"/>
    </xf>
    <xf numFmtId="0" fontId="10" fillId="0" borderId="30" xfId="2299" applyFont="1" applyBorder="1" applyAlignment="1">
      <alignment horizontal="center" vertical="center"/>
    </xf>
    <xf numFmtId="1" fontId="10" fillId="0" borderId="30" xfId="2261" applyNumberFormat="1" applyFont="1" applyFill="1" applyBorder="1" applyAlignment="1">
      <alignment horizontal="right" vertical="center"/>
    </xf>
    <xf numFmtId="3" fontId="10" fillId="0" borderId="30" xfId="2186" applyNumberFormat="1" applyFont="1" applyFill="1" applyBorder="1" applyAlignment="1">
      <alignment horizontal="center" vertical="center"/>
    </xf>
    <xf numFmtId="3" fontId="10" fillId="0" borderId="30" xfId="2186" applyNumberFormat="1" applyFont="1" applyFill="1" applyBorder="1" applyAlignment="1">
      <alignment horizontal="right" vertical="center"/>
    </xf>
    <xf numFmtId="3" fontId="10" fillId="0" borderId="30" xfId="2186" applyNumberFormat="1" applyFont="1" applyFill="1" applyBorder="1" applyAlignment="1">
      <alignment vertical="center"/>
    </xf>
    <xf numFmtId="41" fontId="10" fillId="0" borderId="30" xfId="2186" applyFont="1" applyFill="1" applyBorder="1" applyAlignment="1">
      <alignment vertical="center"/>
    </xf>
    <xf numFmtId="0" fontId="10" fillId="0" borderId="0" xfId="2300" applyFont="1" applyAlignment="1">
      <alignment vertical="center"/>
    </xf>
    <xf numFmtId="0" fontId="19" fillId="0" borderId="0" xfId="2300" applyFont="1" applyAlignment="1">
      <alignment vertical="center"/>
    </xf>
    <xf numFmtId="0" fontId="10" fillId="0" borderId="0" xfId="2299" applyFont="1" applyAlignment="1">
      <alignment horizontal="left" vertical="center"/>
    </xf>
    <xf numFmtId="0" fontId="19" fillId="0" borderId="0" xfId="2289" applyFont="1" applyAlignment="1">
      <alignment vertical="center" shrinkToFit="1"/>
    </xf>
    <xf numFmtId="41" fontId="19" fillId="0" borderId="0" xfId="2186" applyFont="1" applyFill="1" applyAlignment="1">
      <alignment vertical="center" shrinkToFit="1"/>
    </xf>
    <xf numFmtId="3" fontId="10" fillId="0" borderId="9" xfId="2186" applyNumberFormat="1" applyFont="1" applyFill="1" applyBorder="1" applyAlignment="1">
      <alignment horizontal="center" vertical="center"/>
    </xf>
    <xf numFmtId="0" fontId="10" fillId="0" borderId="0" xfId="2299" applyFont="1" applyAlignment="1">
      <alignment vertical="center"/>
    </xf>
    <xf numFmtId="0" fontId="10" fillId="0" borderId="25" xfId="2299" applyFont="1" applyBorder="1" applyAlignment="1">
      <alignment horizontal="left" vertical="center"/>
    </xf>
    <xf numFmtId="0" fontId="10" fillId="0" borderId="25" xfId="2299" applyFont="1" applyBorder="1" applyAlignment="1">
      <alignment horizontal="center" vertical="center"/>
    </xf>
    <xf numFmtId="49" fontId="10" fillId="0" borderId="25" xfId="2261" applyNumberFormat="1" applyFont="1" applyFill="1" applyBorder="1" applyAlignment="1">
      <alignment horizontal="right" vertical="center"/>
    </xf>
    <xf numFmtId="3" fontId="10" fillId="0" borderId="25" xfId="2186" applyNumberFormat="1" applyFont="1" applyFill="1" applyBorder="1" applyAlignment="1">
      <alignment horizontal="right" vertical="center"/>
    </xf>
    <xf numFmtId="3" fontId="10" fillId="0" borderId="25" xfId="2186" applyNumberFormat="1" applyFont="1" applyFill="1" applyBorder="1" applyAlignment="1">
      <alignment vertical="center"/>
    </xf>
    <xf numFmtId="41" fontId="10" fillId="0" borderId="31" xfId="2186" applyFont="1" applyFill="1" applyBorder="1" applyAlignment="1">
      <alignment vertical="center"/>
    </xf>
    <xf numFmtId="194" fontId="50" fillId="0" borderId="8" xfId="2299" applyNumberFormat="1" applyFont="1" applyBorder="1" applyAlignment="1">
      <alignment horizontal="center" vertical="center"/>
    </xf>
    <xf numFmtId="194" fontId="15" fillId="0" borderId="8" xfId="2299" applyNumberFormat="1" applyFont="1" applyBorder="1" applyAlignment="1">
      <alignment horizontal="left" vertical="center"/>
    </xf>
    <xf numFmtId="194" fontId="15" fillId="0" borderId="8" xfId="2299" applyNumberFormat="1" applyFont="1" applyBorder="1" applyAlignment="1">
      <alignment horizontal="center" vertical="center"/>
    </xf>
    <xf numFmtId="0" fontId="10" fillId="0" borderId="8" xfId="2261" applyNumberFormat="1" applyFont="1" applyFill="1" applyBorder="1" applyAlignment="1">
      <alignment horizontal="right" vertical="center"/>
    </xf>
    <xf numFmtId="194" fontId="10" fillId="0" borderId="0" xfId="2300" applyNumberFormat="1" applyFont="1" applyAlignment="1">
      <alignment horizontal="center" vertical="center"/>
    </xf>
    <xf numFmtId="0" fontId="10" fillId="0" borderId="8" xfId="2299" applyFont="1" applyBorder="1" applyAlignment="1">
      <alignment vertical="center"/>
    </xf>
    <xf numFmtId="3" fontId="10" fillId="0" borderId="8" xfId="2289" applyNumberFormat="1" applyFont="1" applyBorder="1">
      <alignment vertical="center"/>
    </xf>
    <xf numFmtId="0" fontId="22" fillId="0" borderId="0" xfId="2298" applyFont="1" applyAlignment="1">
      <alignment horizontal="centerContinuous" vertical="center"/>
    </xf>
    <xf numFmtId="0" fontId="22" fillId="0" borderId="0" xfId="2298" applyFont="1" applyAlignment="1">
      <alignment vertical="center"/>
    </xf>
    <xf numFmtId="0" fontId="22" fillId="0" borderId="0" xfId="2298" applyFont="1" applyAlignment="1">
      <alignment horizontal="center" vertical="center"/>
    </xf>
    <xf numFmtId="3" fontId="22" fillId="0" borderId="0" xfId="2186" applyNumberFormat="1" applyFont="1" applyFill="1" applyAlignment="1">
      <alignment vertical="center"/>
    </xf>
    <xf numFmtId="41" fontId="22" fillId="0" borderId="0" xfId="2186" applyFont="1" applyFill="1" applyAlignment="1">
      <alignment vertical="center"/>
    </xf>
    <xf numFmtId="0" fontId="10" fillId="0" borderId="30" xfId="2299" applyFont="1" applyBorder="1" applyAlignment="1">
      <alignment horizontal="left" vertical="center" shrinkToFit="1"/>
    </xf>
    <xf numFmtId="0" fontId="10" fillId="0" borderId="8" xfId="2292" applyFont="1" applyBorder="1" applyAlignment="1">
      <alignment horizontal="center" vertical="center"/>
    </xf>
    <xf numFmtId="0" fontId="10" fillId="0" borderId="8" xfId="2289" applyFont="1" applyBorder="1" applyAlignment="1">
      <alignment vertical="center" shrinkToFit="1"/>
    </xf>
    <xf numFmtId="0" fontId="15" fillId="0" borderId="8" xfId="2292" applyFont="1" applyBorder="1" applyAlignment="1">
      <alignment vertical="center"/>
    </xf>
    <xf numFmtId="0" fontId="15" fillId="0" borderId="8" xfId="2292" applyFont="1" applyBorder="1" applyAlignment="1">
      <alignment vertical="center" shrinkToFit="1"/>
    </xf>
    <xf numFmtId="41" fontId="10" fillId="0" borderId="16" xfId="2186" applyFont="1" applyFill="1" applyBorder="1" applyAlignment="1">
      <alignment horizontal="center" vertical="center"/>
    </xf>
    <xf numFmtId="183" fontId="10" fillId="0" borderId="16" xfId="2186" applyNumberFormat="1" applyFont="1" applyFill="1" applyBorder="1" applyAlignment="1">
      <alignment horizontal="right" vertical="center"/>
    </xf>
    <xf numFmtId="9" fontId="10" fillId="0" borderId="16" xfId="2186" applyNumberFormat="1" applyFont="1" applyFill="1" applyBorder="1" applyAlignment="1">
      <alignment horizontal="center" vertical="center"/>
    </xf>
    <xf numFmtId="41" fontId="10" fillId="0" borderId="16" xfId="2186" applyFont="1" applyFill="1" applyBorder="1" applyAlignment="1">
      <alignment vertical="center"/>
    </xf>
    <xf numFmtId="181" fontId="10" fillId="0" borderId="16" xfId="2186" applyNumberFormat="1" applyFont="1" applyFill="1" applyBorder="1" applyAlignment="1">
      <alignment vertical="center"/>
    </xf>
    <xf numFmtId="195" fontId="10" fillId="0" borderId="16" xfId="2186" applyNumberFormat="1" applyFont="1" applyFill="1" applyBorder="1" applyAlignment="1">
      <alignment vertical="center"/>
    </xf>
    <xf numFmtId="181" fontId="10" fillId="0" borderId="8" xfId="2186" applyNumberFormat="1" applyFont="1" applyFill="1" applyBorder="1" applyAlignment="1">
      <alignment horizontal="center" vertical="center" wrapText="1"/>
    </xf>
    <xf numFmtId="181" fontId="10" fillId="0" borderId="8" xfId="2186" applyNumberFormat="1" applyFont="1" applyFill="1" applyBorder="1" applyAlignment="1">
      <alignment horizontal="center" vertical="center"/>
    </xf>
    <xf numFmtId="195" fontId="10" fillId="0" borderId="8" xfId="2186" applyNumberFormat="1" applyFont="1" applyFill="1" applyBorder="1" applyAlignment="1">
      <alignment horizontal="center" vertical="center" wrapText="1"/>
    </xf>
    <xf numFmtId="0" fontId="10" fillId="0" borderId="8" xfId="2186" applyNumberFormat="1" applyFont="1" applyFill="1" applyBorder="1" applyAlignment="1">
      <alignment vertical="center" shrinkToFit="1"/>
    </xf>
    <xf numFmtId="9" fontId="10" fillId="0" borderId="8" xfId="2186" applyNumberFormat="1" applyFont="1" applyFill="1" applyBorder="1" applyAlignment="1">
      <alignment horizontal="center" vertical="center"/>
    </xf>
    <xf numFmtId="0" fontId="10" fillId="0" borderId="8" xfId="2186" applyNumberFormat="1" applyFont="1" applyFill="1" applyBorder="1" applyAlignment="1">
      <alignment vertical="center" wrapText="1"/>
    </xf>
    <xf numFmtId="0" fontId="10" fillId="0" borderId="8" xfId="2186" applyNumberFormat="1" applyFont="1" applyFill="1" applyBorder="1" applyAlignment="1">
      <alignment horizontal="center" vertical="center" shrinkToFit="1"/>
    </xf>
    <xf numFmtId="0" fontId="10" fillId="0" borderId="2" xfId="2186" applyNumberFormat="1" applyFont="1" applyFill="1" applyBorder="1" applyAlignment="1">
      <alignment vertical="center"/>
    </xf>
    <xf numFmtId="195" fontId="10" fillId="0" borderId="8" xfId="2186" applyNumberFormat="1" applyFont="1" applyFill="1" applyBorder="1" applyAlignment="1">
      <alignment vertical="center" shrinkToFit="1"/>
    </xf>
    <xf numFmtId="183" fontId="10" fillId="0" borderId="8" xfId="2186" applyNumberFormat="1" applyFont="1" applyFill="1" applyBorder="1" applyAlignment="1">
      <alignment vertical="center"/>
    </xf>
    <xf numFmtId="179" fontId="10" fillId="0" borderId="8" xfId="2186" applyNumberFormat="1" applyFont="1" applyFill="1" applyBorder="1" applyAlignment="1">
      <alignment horizontal="center" vertical="center"/>
    </xf>
    <xf numFmtId="183" fontId="10" fillId="0" borderId="0" xfId="2186" applyNumberFormat="1" applyFont="1" applyFill="1" applyBorder="1" applyAlignment="1">
      <alignment vertical="center"/>
    </xf>
    <xf numFmtId="179" fontId="10" fillId="0" borderId="0" xfId="2186" applyNumberFormat="1" applyFont="1" applyFill="1" applyBorder="1" applyAlignment="1">
      <alignment horizontal="center" vertical="center"/>
    </xf>
    <xf numFmtId="179" fontId="10" fillId="0" borderId="0" xfId="2186" applyNumberFormat="1" applyFont="1" applyFill="1" applyBorder="1" applyAlignment="1">
      <alignment vertical="center"/>
    </xf>
    <xf numFmtId="181" fontId="10" fillId="0" borderId="0" xfId="2186" applyNumberFormat="1" applyFont="1" applyFill="1" applyBorder="1" applyAlignment="1">
      <alignment vertical="center"/>
    </xf>
    <xf numFmtId="195" fontId="10" fillId="0" borderId="0" xfId="2186" applyNumberFormat="1" applyFont="1" applyFill="1" applyBorder="1" applyAlignment="1">
      <alignment vertical="center"/>
    </xf>
    <xf numFmtId="3" fontId="15" fillId="0" borderId="8" xfId="0" applyNumberFormat="1" applyFont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7" fillId="7" borderId="0" xfId="0" applyFont="1" applyFill="1" applyAlignment="1">
      <alignment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8" fillId="0" borderId="30" xfId="0" applyFont="1" applyBorder="1" applyAlignment="1">
      <alignment vertical="center"/>
    </xf>
    <xf numFmtId="0" fontId="10" fillId="0" borderId="8" xfId="0" applyFont="1" applyBorder="1" applyAlignment="1">
      <alignment vertical="center" shrinkToFit="1"/>
    </xf>
    <xf numFmtId="0" fontId="9" fillId="0" borderId="4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10" fillId="0" borderId="4" xfId="0" applyFont="1" applyBorder="1" applyAlignment="1">
      <alignment vertical="center"/>
    </xf>
    <xf numFmtId="183" fontId="10" fillId="0" borderId="16" xfId="0" applyNumberFormat="1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8" xfId="0" applyFont="1" applyBorder="1" applyAlignment="1">
      <alignment horizontal="center" vertical="center" shrinkToFit="1"/>
    </xf>
    <xf numFmtId="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181" fontId="10" fillId="0" borderId="0" xfId="0" applyNumberFormat="1" applyFont="1" applyAlignment="1">
      <alignment vertical="center"/>
    </xf>
    <xf numFmtId="3" fontId="10" fillId="0" borderId="8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shrinkToFit="1"/>
    </xf>
    <xf numFmtId="3" fontId="17" fillId="0" borderId="8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32" xfId="0" applyFont="1" applyBorder="1"/>
    <xf numFmtId="0" fontId="9" fillId="0" borderId="0" xfId="0" applyFont="1" applyAlignment="1">
      <alignment horizontal="center"/>
    </xf>
    <xf numFmtId="0" fontId="9" fillId="0" borderId="3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/>
    </xf>
    <xf numFmtId="0" fontId="41" fillId="0" borderId="3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35" xfId="0" applyFont="1" applyBorder="1" applyAlignment="1">
      <alignment vertical="center"/>
    </xf>
    <xf numFmtId="0" fontId="42" fillId="0" borderId="34" xfId="0" applyFont="1" applyBorder="1" applyAlignment="1">
      <alignment vertical="center"/>
    </xf>
    <xf numFmtId="0" fontId="41" fillId="0" borderId="34" xfId="0" applyFont="1" applyBorder="1" applyAlignment="1">
      <alignment horizontal="center"/>
    </xf>
    <xf numFmtId="0" fontId="41" fillId="0" borderId="0" xfId="0" applyFont="1"/>
    <xf numFmtId="0" fontId="41" fillId="0" borderId="35" xfId="0" applyFont="1" applyBorder="1"/>
    <xf numFmtId="0" fontId="25" fillId="0" borderId="0" xfId="0" applyFont="1"/>
    <xf numFmtId="0" fontId="41" fillId="0" borderId="0" xfId="0" applyFont="1" applyAlignment="1">
      <alignment horizontal="center"/>
    </xf>
    <xf numFmtId="0" fontId="21" fillId="0" borderId="34" xfId="0" applyFont="1" applyBorder="1"/>
    <xf numFmtId="0" fontId="21" fillId="0" borderId="35" xfId="0" applyFont="1" applyBorder="1"/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35" xfId="0" applyFont="1" applyBorder="1" applyAlignment="1">
      <alignment horizontal="left"/>
    </xf>
    <xf numFmtId="0" fontId="21" fillId="0" borderId="34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30" xfId="0" applyFont="1" applyBorder="1"/>
    <xf numFmtId="0" fontId="25" fillId="0" borderId="30" xfId="0" applyFont="1" applyBorder="1"/>
    <xf numFmtId="0" fontId="21" fillId="0" borderId="36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37" xfId="0" applyFont="1" applyBorder="1"/>
    <xf numFmtId="182" fontId="15" fillId="0" borderId="0" xfId="0" applyNumberFormat="1" applyFont="1" applyAlignment="1">
      <alignment vertical="center"/>
    </xf>
    <xf numFmtId="0" fontId="16" fillId="0" borderId="8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3" fontId="10" fillId="0" borderId="8" xfId="0" applyNumberFormat="1" applyFont="1" applyBorder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41" fontId="10" fillId="0" borderId="8" xfId="0" applyNumberFormat="1" applyFont="1" applyBorder="1" applyAlignment="1">
      <alignment vertical="center"/>
    </xf>
    <xf numFmtId="41" fontId="10" fillId="0" borderId="2" xfId="0" applyNumberFormat="1" applyFont="1" applyBorder="1" applyAlignment="1">
      <alignment vertical="center"/>
    </xf>
    <xf numFmtId="0" fontId="44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38" xfId="0" applyFont="1" applyBorder="1" applyAlignment="1">
      <alignment vertical="center"/>
    </xf>
    <xf numFmtId="180" fontId="7" fillId="0" borderId="7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48" fillId="0" borderId="3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3" fontId="10" fillId="0" borderId="8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left" vertical="center"/>
    </xf>
    <xf numFmtId="182" fontId="15" fillId="3" borderId="0" xfId="0" applyNumberFormat="1" applyFont="1" applyFill="1" applyAlignment="1">
      <alignment vertical="center"/>
    </xf>
    <xf numFmtId="0" fontId="16" fillId="0" borderId="0" xfId="0" applyFont="1" applyAlignment="1">
      <alignment vertical="center"/>
    </xf>
    <xf numFmtId="184" fontId="10" fillId="0" borderId="8" xfId="0" applyNumberFormat="1" applyFont="1" applyBorder="1" applyAlignment="1">
      <alignment vertical="center" shrinkToFit="1"/>
    </xf>
    <xf numFmtId="184" fontId="10" fillId="0" borderId="8" xfId="0" applyNumberFormat="1" applyFont="1" applyBorder="1" applyAlignment="1">
      <alignment vertical="center"/>
    </xf>
    <xf numFmtId="3" fontId="16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41" fontId="10" fillId="0" borderId="8" xfId="0" applyNumberFormat="1" applyFont="1" applyBorder="1" applyAlignment="1">
      <alignment vertical="center" shrinkToFit="1"/>
    </xf>
    <xf numFmtId="41" fontId="31" fillId="0" borderId="0" xfId="0" applyNumberFormat="1" applyFont="1" applyAlignment="1">
      <alignment vertical="center"/>
    </xf>
    <xf numFmtId="193" fontId="51" fillId="0" borderId="0" xfId="0" applyNumberFormat="1" applyFont="1" applyAlignment="1">
      <alignment vertical="center"/>
    </xf>
    <xf numFmtId="41" fontId="10" fillId="0" borderId="8" xfId="0" applyNumberFormat="1" applyFont="1" applyBorder="1" applyAlignment="1">
      <alignment horizontal="right" vertical="center"/>
    </xf>
    <xf numFmtId="41" fontId="9" fillId="0" borderId="0" xfId="0" applyNumberFormat="1" applyFont="1" applyAlignment="1">
      <alignment horizontal="right"/>
    </xf>
    <xf numFmtId="41" fontId="9" fillId="0" borderId="4" xfId="0" applyNumberFormat="1" applyFont="1" applyBorder="1" applyAlignment="1">
      <alignment horizontal="right"/>
    </xf>
    <xf numFmtId="0" fontId="15" fillId="0" borderId="8" xfId="0" applyFont="1" applyBorder="1" applyAlignment="1">
      <alignment vertical="center" shrinkToFit="1"/>
    </xf>
    <xf numFmtId="41" fontId="9" fillId="0" borderId="0" xfId="0" applyNumberFormat="1" applyFont="1"/>
    <xf numFmtId="41" fontId="9" fillId="0" borderId="4" xfId="0" applyNumberFormat="1" applyFont="1" applyBorder="1"/>
    <xf numFmtId="0" fontId="20" fillId="0" borderId="17" xfId="0" applyFont="1" applyBorder="1"/>
    <xf numFmtId="0" fontId="20" fillId="0" borderId="39" xfId="0" applyFont="1" applyBorder="1"/>
    <xf numFmtId="0" fontId="20" fillId="0" borderId="40" xfId="0" applyFont="1" applyBorder="1"/>
    <xf numFmtId="0" fontId="20" fillId="0" borderId="0" xfId="0" applyFont="1"/>
    <xf numFmtId="0" fontId="20" fillId="0" borderId="33" xfId="0" applyFont="1" applyBorder="1"/>
    <xf numFmtId="0" fontId="20" fillId="0" borderId="14" xfId="0" applyFont="1" applyBorder="1"/>
    <xf numFmtId="0" fontId="63" fillId="0" borderId="0" xfId="0" applyFont="1"/>
    <xf numFmtId="0" fontId="20" fillId="0" borderId="18" xfId="0" applyFont="1" applyBorder="1"/>
    <xf numFmtId="0" fontId="20" fillId="0" borderId="30" xfId="0" applyFont="1" applyBorder="1"/>
    <xf numFmtId="0" fontId="20" fillId="0" borderId="9" xfId="0" applyFont="1" applyBorder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0" fillId="0" borderId="14" xfId="0" applyFont="1" applyBorder="1" applyAlignment="1">
      <alignment vertical="top"/>
    </xf>
    <xf numFmtId="0" fontId="20" fillId="0" borderId="0" xfId="0" applyFont="1" applyAlignment="1">
      <alignment horizontal="center" vertical="center"/>
    </xf>
    <xf numFmtId="0" fontId="64" fillId="3" borderId="30" xfId="0" applyFont="1" applyFill="1" applyBorder="1" applyAlignment="1">
      <alignment horizontal="center" vertical="top"/>
    </xf>
    <xf numFmtId="0" fontId="20" fillId="0" borderId="0" xfId="0" applyFont="1" applyAlignment="1">
      <alignment horizontal="center"/>
    </xf>
    <xf numFmtId="3" fontId="18" fillId="0" borderId="8" xfId="0" applyNumberFormat="1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0" fontId="22" fillId="0" borderId="30" xfId="0" applyFont="1" applyBorder="1" applyAlignment="1">
      <alignment vertical="center"/>
    </xf>
    <xf numFmtId="0" fontId="19" fillId="0" borderId="30" xfId="0" applyFont="1" applyBorder="1" applyAlignment="1">
      <alignment horizontal="right" vertical="center"/>
    </xf>
    <xf numFmtId="0" fontId="17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38" xfId="0" applyFont="1" applyBorder="1" applyAlignment="1">
      <alignment vertical="center"/>
    </xf>
    <xf numFmtId="180" fontId="10" fillId="0" borderId="7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65" fillId="0" borderId="3" xfId="0" applyFont="1" applyBorder="1" applyAlignment="1">
      <alignment vertical="center"/>
    </xf>
    <xf numFmtId="0" fontId="66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8" borderId="0" xfId="0" applyFont="1" applyFill="1" applyAlignment="1">
      <alignment vertical="center"/>
    </xf>
    <xf numFmtId="0" fontId="10" fillId="6" borderId="0" xfId="0" applyFont="1" applyFill="1" applyAlignment="1">
      <alignment vertical="center"/>
    </xf>
    <xf numFmtId="0" fontId="10" fillId="7" borderId="0" xfId="0" applyFont="1" applyFill="1" applyAlignment="1">
      <alignment vertical="center"/>
    </xf>
    <xf numFmtId="0" fontId="10" fillId="0" borderId="4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180" fontId="10" fillId="0" borderId="8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 wrapText="1"/>
    </xf>
    <xf numFmtId="0" fontId="65" fillId="0" borderId="8" xfId="0" applyFont="1" applyBorder="1" applyAlignment="1">
      <alignment vertical="center"/>
    </xf>
    <xf numFmtId="0" fontId="66" fillId="0" borderId="8" xfId="0" applyFont="1" applyBorder="1" applyAlignment="1">
      <alignment vertical="center"/>
    </xf>
    <xf numFmtId="180" fontId="10" fillId="0" borderId="31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vertical="center" shrinkToFit="1"/>
    </xf>
    <xf numFmtId="0" fontId="7" fillId="0" borderId="41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45" fillId="0" borderId="8" xfId="0" applyFont="1" applyBorder="1" applyAlignment="1">
      <alignment vertical="center"/>
    </xf>
    <xf numFmtId="0" fontId="46" fillId="0" borderId="8" xfId="0" applyFont="1" applyBorder="1" applyAlignment="1">
      <alignment vertical="center"/>
    </xf>
    <xf numFmtId="0" fontId="47" fillId="0" borderId="8" xfId="0" applyFont="1" applyBorder="1" applyAlignment="1">
      <alignment vertical="center"/>
    </xf>
    <xf numFmtId="0" fontId="7" fillId="0" borderId="8" xfId="0" applyFont="1" applyBorder="1" applyAlignment="1">
      <alignment horizontal="left" vertical="center"/>
    </xf>
    <xf numFmtId="180" fontId="7" fillId="0" borderId="3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62" fillId="0" borderId="17" xfId="0" applyFont="1" applyBorder="1" applyAlignment="1">
      <alignment vertical="center"/>
    </xf>
    <xf numFmtId="0" fontId="62" fillId="0" borderId="39" xfId="0" applyFont="1" applyBorder="1" applyAlignment="1">
      <alignment vertical="center"/>
    </xf>
    <xf numFmtId="0" fontId="62" fillId="0" borderId="40" xfId="0" applyFont="1" applyBorder="1" applyAlignment="1">
      <alignment vertical="center"/>
    </xf>
    <xf numFmtId="0" fontId="67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62" fillId="0" borderId="33" xfId="0" applyFont="1" applyBorder="1" applyAlignment="1">
      <alignment vertical="center"/>
    </xf>
    <xf numFmtId="0" fontId="62" fillId="0" borderId="14" xfId="0" applyFont="1" applyBorder="1" applyAlignment="1">
      <alignment vertical="center"/>
    </xf>
    <xf numFmtId="0" fontId="62" fillId="0" borderId="18" xfId="0" applyFont="1" applyBorder="1" applyAlignment="1">
      <alignment vertical="center"/>
    </xf>
    <xf numFmtId="0" fontId="62" fillId="0" borderId="30" xfId="0" applyFont="1" applyBorder="1" applyAlignment="1">
      <alignment vertical="center"/>
    </xf>
    <xf numFmtId="0" fontId="62" fillId="0" borderId="9" xfId="0" applyFont="1" applyBorder="1" applyAlignment="1">
      <alignment vertical="center"/>
    </xf>
    <xf numFmtId="0" fontId="62" fillId="0" borderId="17" xfId="0" applyFont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62" fillId="0" borderId="33" xfId="0" applyFont="1" applyBorder="1" applyAlignment="1">
      <alignment horizontal="center" vertical="center"/>
    </xf>
    <xf numFmtId="0" fontId="62" fillId="0" borderId="0" xfId="0" applyFont="1" applyAlignment="1">
      <alignment horizontal="left" vertical="center" indent="1"/>
    </xf>
    <xf numFmtId="0" fontId="62" fillId="0" borderId="14" xfId="0" applyFont="1" applyBorder="1" applyAlignment="1">
      <alignment horizontal="left" vertical="center" indent="1"/>
    </xf>
    <xf numFmtId="197" fontId="68" fillId="0" borderId="0" xfId="0" applyNumberFormat="1" applyFont="1" applyAlignment="1">
      <alignment horizontal="left" vertical="center" indent="1"/>
    </xf>
    <xf numFmtId="197" fontId="68" fillId="0" borderId="0" xfId="0" applyNumberFormat="1" applyFont="1" applyAlignment="1">
      <alignment vertical="center"/>
    </xf>
    <xf numFmtId="197" fontId="68" fillId="0" borderId="14" xfId="0" applyNumberFormat="1" applyFont="1" applyBorder="1" applyAlignment="1">
      <alignment vertical="center"/>
    </xf>
    <xf numFmtId="0" fontId="62" fillId="0" borderId="0" xfId="0" applyFont="1" applyAlignment="1">
      <alignment horizontal="center" vertical="center"/>
    </xf>
    <xf numFmtId="0" fontId="68" fillId="0" borderId="0" xfId="0" applyFont="1" applyAlignment="1">
      <alignment horizontal="left" vertical="center" indent="1"/>
    </xf>
    <xf numFmtId="0" fontId="62" fillId="0" borderId="18" xfId="0" applyFont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shrinkToFit="1"/>
    </xf>
    <xf numFmtId="0" fontId="10" fillId="6" borderId="2" xfId="0" applyFont="1" applyFill="1" applyBorder="1" applyAlignment="1">
      <alignment vertical="center" shrinkToFit="1"/>
    </xf>
    <xf numFmtId="180" fontId="10" fillId="6" borderId="31" xfId="0" applyNumberFormat="1" applyFont="1" applyFill="1" applyBorder="1" applyAlignment="1">
      <alignment horizontal="left" vertical="center"/>
    </xf>
    <xf numFmtId="0" fontId="10" fillId="6" borderId="2" xfId="0" applyFont="1" applyFill="1" applyBorder="1" applyAlignment="1">
      <alignment vertical="center"/>
    </xf>
    <xf numFmtId="0" fontId="10" fillId="6" borderId="8" xfId="0" applyFont="1" applyFill="1" applyBorder="1" applyAlignment="1">
      <alignment horizontal="left" vertical="center"/>
    </xf>
    <xf numFmtId="0" fontId="17" fillId="6" borderId="8" xfId="0" applyFont="1" applyFill="1" applyBorder="1" applyAlignment="1">
      <alignment vertical="center"/>
    </xf>
    <xf numFmtId="0" fontId="65" fillId="6" borderId="8" xfId="0" applyFont="1" applyFill="1" applyBorder="1" applyAlignment="1">
      <alignment vertical="center"/>
    </xf>
    <xf numFmtId="0" fontId="66" fillId="6" borderId="8" xfId="0" applyFont="1" applyFill="1" applyBorder="1" applyAlignment="1">
      <alignment vertical="center"/>
    </xf>
    <xf numFmtId="0" fontId="7" fillId="6" borderId="41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10" fillId="0" borderId="8" xfId="2292" applyFont="1" applyBorder="1" applyAlignment="1">
      <alignment vertical="center"/>
    </xf>
    <xf numFmtId="0" fontId="10" fillId="0" borderId="8" xfId="2292" applyFont="1" applyBorder="1" applyAlignment="1">
      <alignment vertical="center" shrinkToFit="1"/>
    </xf>
    <xf numFmtId="184" fontId="15" fillId="0" borderId="8" xfId="2289" applyNumberFormat="1" applyFont="1" applyBorder="1" applyAlignment="1">
      <alignment vertical="center" shrinkToFit="1"/>
    </xf>
    <xf numFmtId="184" fontId="10" fillId="0" borderId="8" xfId="2289" applyNumberFormat="1" applyFont="1" applyBorder="1" applyAlignment="1">
      <alignment horizontal="center" vertical="center"/>
    </xf>
    <xf numFmtId="0" fontId="10" fillId="0" borderId="0" xfId="2289" applyFont="1">
      <alignment vertical="center"/>
    </xf>
    <xf numFmtId="0" fontId="129" fillId="0" borderId="31" xfId="2289" applyFont="1" applyBorder="1" applyAlignment="1">
      <alignment horizontal="center" vertical="center" shrinkToFit="1"/>
    </xf>
    <xf numFmtId="0" fontId="129" fillId="0" borderId="8" xfId="2289" applyFont="1" applyBorder="1" applyAlignment="1">
      <alignment horizontal="center" vertical="center" shrinkToFit="1"/>
    </xf>
    <xf numFmtId="0" fontId="10" fillId="0" borderId="0" xfId="2289" applyFont="1" applyAlignment="1">
      <alignment vertical="center" shrinkToFit="1"/>
    </xf>
    <xf numFmtId="0" fontId="10" fillId="0" borderId="8" xfId="2289" applyFont="1" applyBorder="1" applyAlignment="1">
      <alignment horizontal="center" vertical="center" shrinkToFit="1"/>
    </xf>
    <xf numFmtId="0" fontId="10" fillId="0" borderId="0" xfId="2289" applyFont="1" applyAlignment="1">
      <alignment shrinkToFit="1"/>
    </xf>
    <xf numFmtId="0" fontId="10" fillId="0" borderId="0" xfId="2289" applyFont="1" applyAlignment="1">
      <alignment horizontal="center"/>
    </xf>
    <xf numFmtId="0" fontId="10" fillId="0" borderId="0" xfId="2289" applyFont="1" applyAlignment="1"/>
    <xf numFmtId="0" fontId="14" fillId="0" borderId="0" xfId="2289" applyFont="1" applyAlignment="1">
      <alignment shrinkToFit="1"/>
    </xf>
    <xf numFmtId="0" fontId="14" fillId="0" borderId="0" xfId="2289" applyFont="1" applyAlignment="1">
      <alignment horizontal="center"/>
    </xf>
    <xf numFmtId="0" fontId="14" fillId="0" borderId="0" xfId="2289" applyFont="1" applyAlignment="1"/>
    <xf numFmtId="0" fontId="14" fillId="0" borderId="0" xfId="2289" applyFont="1">
      <alignment vertical="center"/>
    </xf>
    <xf numFmtId="0" fontId="9" fillId="0" borderId="0" xfId="2289" applyFont="1">
      <alignment vertical="center"/>
    </xf>
    <xf numFmtId="0" fontId="10" fillId="0" borderId="8" xfId="0" applyFont="1" applyBorder="1" applyAlignment="1">
      <alignment horizontal="left" vertical="center" shrinkToFit="1"/>
    </xf>
    <xf numFmtId="41" fontId="10" fillId="0" borderId="8" xfId="2186" applyFont="1" applyFill="1" applyBorder="1" applyAlignment="1">
      <alignment vertical="center" shrinkToFit="1"/>
    </xf>
    <xf numFmtId="41" fontId="10" fillId="0" borderId="2" xfId="0" quotePrefix="1" applyNumberFormat="1" applyFont="1" applyBorder="1" applyAlignment="1">
      <alignment vertical="center"/>
    </xf>
    <xf numFmtId="3" fontId="10" fillId="0" borderId="0" xfId="2186" applyNumberFormat="1" applyFont="1" applyAlignment="1">
      <alignment vertical="center"/>
    </xf>
    <xf numFmtId="182" fontId="15" fillId="0" borderId="10" xfId="0" applyNumberFormat="1" applyFont="1" applyBorder="1" applyAlignment="1">
      <alignment horizontal="center" vertical="center"/>
    </xf>
    <xf numFmtId="182" fontId="15" fillId="0" borderId="8" xfId="0" applyNumberFormat="1" applyFont="1" applyBorder="1" applyAlignment="1">
      <alignment horizontal="center" vertical="center"/>
    </xf>
    <xf numFmtId="3" fontId="15" fillId="0" borderId="10" xfId="0" applyNumberFormat="1" applyFont="1" applyBorder="1" applyAlignment="1">
      <alignment horizontal="center" vertical="center"/>
    </xf>
    <xf numFmtId="41" fontId="15" fillId="0" borderId="8" xfId="0" applyNumberFormat="1" applyFont="1" applyBorder="1" applyAlignment="1">
      <alignment horizontal="left" vertical="center"/>
    </xf>
    <xf numFmtId="0" fontId="19" fillId="0" borderId="0" xfId="2297" quotePrefix="1" applyFont="1" applyAlignment="1">
      <alignment vertical="center"/>
    </xf>
    <xf numFmtId="0" fontId="19" fillId="0" borderId="0" xfId="2297" applyFont="1" applyAlignment="1">
      <alignment vertical="center"/>
    </xf>
    <xf numFmtId="0" fontId="19" fillId="0" borderId="0" xfId="2297" applyFont="1" applyAlignment="1">
      <alignment horizontal="center" vertical="center"/>
    </xf>
    <xf numFmtId="176" fontId="19" fillId="0" borderId="0" xfId="2260" applyFont="1" applyBorder="1" applyAlignment="1">
      <alignment horizontal="center" vertical="center"/>
    </xf>
    <xf numFmtId="0" fontId="7" fillId="0" borderId="0" xfId="0" applyFont="1"/>
    <xf numFmtId="41" fontId="45" fillId="0" borderId="0" xfId="2186" applyFont="1" applyAlignment="1"/>
    <xf numFmtId="0" fontId="48" fillId="0" borderId="0" xfId="0" applyFont="1"/>
    <xf numFmtId="0" fontId="0" fillId="0" borderId="0" xfId="0" quotePrefix="1"/>
    <xf numFmtId="0" fontId="7" fillId="0" borderId="0" xfId="0" quotePrefix="1" applyFont="1"/>
    <xf numFmtId="41" fontId="45" fillId="9" borderId="0" xfId="2186" applyFont="1" applyFill="1" applyAlignment="1"/>
    <xf numFmtId="0" fontId="19" fillId="0" borderId="0" xfId="2297" applyFont="1" applyAlignment="1">
      <alignment horizontal="right" vertical="center"/>
    </xf>
    <xf numFmtId="0" fontId="19" fillId="0" borderId="0" xfId="2297" applyFont="1" applyAlignment="1">
      <alignment horizontal="left" vertical="center"/>
    </xf>
    <xf numFmtId="0" fontId="32" fillId="0" borderId="0" xfId="2297" applyFont="1" applyAlignment="1">
      <alignment vertical="center"/>
    </xf>
    <xf numFmtId="270" fontId="19" fillId="3" borderId="0" xfId="2260" applyNumberFormat="1" applyFont="1" applyFill="1" applyBorder="1" applyAlignment="1">
      <alignment horizontal="right" vertical="center"/>
    </xf>
    <xf numFmtId="176" fontId="32" fillId="3" borderId="0" xfId="2260" applyFont="1" applyFill="1" applyBorder="1" applyAlignment="1">
      <alignment horizontal="center" vertical="center"/>
    </xf>
    <xf numFmtId="3" fontId="7" fillId="0" borderId="0" xfId="0" applyNumberFormat="1" applyFont="1"/>
    <xf numFmtId="176" fontId="7" fillId="0" borderId="0" xfId="2260" applyFont="1"/>
    <xf numFmtId="176" fontId="19" fillId="3" borderId="0" xfId="2260" applyFont="1" applyFill="1" applyBorder="1" applyAlignment="1">
      <alignment horizontal="center" vertical="center"/>
    </xf>
    <xf numFmtId="0" fontId="19" fillId="3" borderId="0" xfId="2297" applyFont="1" applyFill="1" applyAlignment="1">
      <alignment horizontal="center" vertical="center"/>
    </xf>
    <xf numFmtId="0" fontId="30" fillId="3" borderId="0" xfId="2297" applyFont="1" applyFill="1" applyAlignment="1">
      <alignment horizontal="center" vertical="center"/>
    </xf>
    <xf numFmtId="9" fontId="19" fillId="3" borderId="0" xfId="2151" applyFont="1" applyFill="1" applyBorder="1" applyAlignment="1">
      <alignment horizontal="center" vertical="center"/>
    </xf>
    <xf numFmtId="176" fontId="30" fillId="0" borderId="0" xfId="2260" applyFont="1" applyBorder="1" applyAlignment="1">
      <alignment horizontal="center" vertical="center"/>
    </xf>
    <xf numFmtId="191" fontId="19" fillId="3" borderId="0" xfId="2297" applyNumberFormat="1" applyFont="1" applyFill="1" applyAlignment="1">
      <alignment horizontal="center" vertical="center"/>
    </xf>
    <xf numFmtId="41" fontId="48" fillId="0" borderId="0" xfId="2186" applyFont="1" applyAlignment="1"/>
    <xf numFmtId="176" fontId="19" fillId="0" borderId="0" xfId="2260" applyFont="1" applyAlignment="1">
      <alignment horizontal="center" vertical="center"/>
    </xf>
    <xf numFmtId="0" fontId="19" fillId="3" borderId="0" xfId="2162" applyFont="1" applyFill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20" fillId="0" borderId="39" xfId="0" applyFont="1" applyBorder="1" applyAlignment="1">
      <alignment vertical="center"/>
    </xf>
    <xf numFmtId="0" fontId="20" fillId="0" borderId="4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3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0" xfId="2293" applyFont="1" applyAlignment="1">
      <alignment vertical="center"/>
    </xf>
    <xf numFmtId="0" fontId="20" fillId="0" borderId="0" xfId="0" quotePrefix="1" applyFont="1" applyAlignment="1">
      <alignment vertical="center"/>
    </xf>
    <xf numFmtId="41" fontId="20" fillId="0" borderId="0" xfId="2186" applyFont="1" applyBorder="1" applyAlignment="1">
      <alignment vertical="center"/>
    </xf>
    <xf numFmtId="0" fontId="139" fillId="0" borderId="0" xfId="0" applyFont="1" applyAlignment="1">
      <alignment vertical="center"/>
    </xf>
    <xf numFmtId="41" fontId="20" fillId="0" borderId="0" xfId="2186" applyFont="1" applyAlignment="1">
      <alignment vertical="center"/>
    </xf>
    <xf numFmtId="41" fontId="139" fillId="0" borderId="0" xfId="2186" applyFont="1" applyAlignment="1">
      <alignment vertical="center"/>
    </xf>
    <xf numFmtId="41" fontId="139" fillId="0" borderId="0" xfId="0" applyNumberFormat="1" applyFont="1" applyAlignment="1">
      <alignment vertical="center"/>
    </xf>
    <xf numFmtId="0" fontId="15" fillId="0" borderId="8" xfId="2299" applyFont="1" applyBorder="1" applyAlignment="1">
      <alignment vertical="center"/>
    </xf>
    <xf numFmtId="0" fontId="106" fillId="0" borderId="0" xfId="2291"/>
    <xf numFmtId="41" fontId="140" fillId="10" borderId="0" xfId="2186" applyFont="1" applyFill="1" applyAlignment="1"/>
    <xf numFmtId="272" fontId="32" fillId="3" borderId="0" xfId="2260" applyNumberFormat="1" applyFont="1" applyFill="1" applyBorder="1" applyAlignment="1">
      <alignment horizontal="center" vertical="center"/>
    </xf>
    <xf numFmtId="0" fontId="141" fillId="0" borderId="0" xfId="2297" applyFont="1" applyAlignment="1">
      <alignment vertical="center"/>
    </xf>
    <xf numFmtId="3" fontId="144" fillId="0" borderId="43" xfId="2291" applyNumberFormat="1" applyFont="1" applyBorder="1" applyAlignment="1">
      <alignment horizontal="center" vertical="center"/>
    </xf>
    <xf numFmtId="3" fontId="144" fillId="0" borderId="31" xfId="2291" applyNumberFormat="1" applyFont="1" applyBorder="1" applyAlignment="1">
      <alignment horizontal="center" vertical="center"/>
    </xf>
    <xf numFmtId="3" fontId="144" fillId="0" borderId="33" xfId="2291" applyNumberFormat="1" applyFont="1" applyBorder="1" applyAlignment="1">
      <alignment horizontal="left" vertical="center"/>
    </xf>
    <xf numFmtId="3" fontId="144" fillId="0" borderId="39" xfId="2291" applyNumberFormat="1" applyFont="1" applyBorder="1" applyAlignment="1">
      <alignment horizontal="left" vertical="center"/>
    </xf>
    <xf numFmtId="3" fontId="144" fillId="0" borderId="0" xfId="2291" applyNumberFormat="1" applyFont="1" applyAlignment="1">
      <alignment horizontal="left" vertical="center"/>
    </xf>
    <xf numFmtId="3" fontId="144" fillId="0" borderId="44" xfId="2291" applyNumberFormat="1" applyFont="1" applyBorder="1" applyAlignment="1">
      <alignment horizontal="left" vertical="center"/>
    </xf>
    <xf numFmtId="3" fontId="144" fillId="0" borderId="44" xfId="2291" applyNumberFormat="1" applyFont="1" applyBorder="1" applyAlignment="1">
      <alignment vertical="center"/>
    </xf>
    <xf numFmtId="3" fontId="144" fillId="0" borderId="14" xfId="2291" applyNumberFormat="1" applyFont="1" applyBorder="1" applyAlignment="1">
      <alignment vertical="center"/>
    </xf>
    <xf numFmtId="3" fontId="145" fillId="0" borderId="33" xfId="2291" applyNumberFormat="1" applyFont="1" applyBorder="1" applyAlignment="1">
      <alignment horizontal="left" vertical="center"/>
    </xf>
    <xf numFmtId="3" fontId="145" fillId="0" borderId="0" xfId="2291" applyNumberFormat="1" applyFont="1" applyAlignment="1">
      <alignment horizontal="left" vertical="center"/>
    </xf>
    <xf numFmtId="3" fontId="145" fillId="0" borderId="44" xfId="2291" applyNumberFormat="1" applyFont="1" applyBorder="1" applyAlignment="1">
      <alignment horizontal="left" vertical="center"/>
    </xf>
    <xf numFmtId="3" fontId="145" fillId="0" borderId="44" xfId="2291" applyNumberFormat="1" applyFont="1" applyBorder="1" applyAlignment="1">
      <alignment vertical="center"/>
    </xf>
    <xf numFmtId="3" fontId="145" fillId="0" borderId="14" xfId="2291" applyNumberFormat="1" applyFont="1" applyBorder="1" applyAlignment="1">
      <alignment vertical="center"/>
    </xf>
    <xf numFmtId="3" fontId="145" fillId="0" borderId="33" xfId="2291" applyNumberFormat="1" applyFont="1" applyBorder="1" applyAlignment="1">
      <alignment horizontal="left" vertical="center" indent="2"/>
    </xf>
    <xf numFmtId="41" fontId="106" fillId="0" borderId="0" xfId="2186" applyFont="1" applyBorder="1" applyAlignment="1"/>
    <xf numFmtId="3" fontId="145" fillId="0" borderId="0" xfId="2291" applyNumberFormat="1" applyFont="1" applyAlignment="1">
      <alignment horizontal="center" vertical="center"/>
    </xf>
    <xf numFmtId="0" fontId="146" fillId="0" borderId="0" xfId="2291" applyFont="1"/>
    <xf numFmtId="3" fontId="145" fillId="0" borderId="0" xfId="2291" applyNumberFormat="1" applyFont="1" applyAlignment="1">
      <alignment horizontal="left" vertical="center" indent="2"/>
    </xf>
    <xf numFmtId="41" fontId="106" fillId="0" borderId="0" xfId="2291" applyNumberFormat="1"/>
    <xf numFmtId="3" fontId="145" fillId="0" borderId="33" xfId="2291" applyNumberFormat="1" applyFont="1" applyBorder="1" applyAlignment="1">
      <alignment horizontal="right" vertical="center"/>
    </xf>
    <xf numFmtId="3" fontId="145" fillId="0" borderId="0" xfId="2291" applyNumberFormat="1" applyFont="1" applyAlignment="1">
      <alignment horizontal="right" vertical="center"/>
    </xf>
    <xf numFmtId="199" fontId="145" fillId="0" borderId="0" xfId="2291" applyNumberFormat="1" applyFont="1" applyAlignment="1">
      <alignment horizontal="left" vertical="center"/>
    </xf>
    <xf numFmtId="3" fontId="15" fillId="0" borderId="33" xfId="2291" applyNumberFormat="1" applyFont="1" applyBorder="1" applyAlignment="1">
      <alignment horizontal="right" vertical="center"/>
    </xf>
    <xf numFmtId="199" fontId="145" fillId="0" borderId="0" xfId="2291" applyNumberFormat="1" applyFont="1" applyAlignment="1">
      <alignment horizontal="right" vertical="center"/>
    </xf>
    <xf numFmtId="199" fontId="145" fillId="0" borderId="44" xfId="2291" applyNumberFormat="1" applyFont="1" applyBorder="1" applyAlignment="1">
      <alignment vertical="center"/>
    </xf>
    <xf numFmtId="3" fontId="15" fillId="0" borderId="33" xfId="2291" applyNumberFormat="1" applyFont="1" applyBorder="1" applyAlignment="1">
      <alignment horizontal="left" vertical="center"/>
    </xf>
    <xf numFmtId="199" fontId="145" fillId="0" borderId="14" xfId="2291" applyNumberFormat="1" applyFont="1" applyBorder="1" applyAlignment="1">
      <alignment vertical="center"/>
    </xf>
    <xf numFmtId="199" fontId="145" fillId="0" borderId="0" xfId="2291" applyNumberFormat="1" applyFont="1" applyAlignment="1">
      <alignment horizontal="center" vertical="center"/>
    </xf>
    <xf numFmtId="3" fontId="50" fillId="0" borderId="33" xfId="2291" applyNumberFormat="1" applyFont="1" applyBorder="1" applyAlignment="1">
      <alignment horizontal="left" vertical="center"/>
    </xf>
    <xf numFmtId="0" fontId="147" fillId="0" borderId="0" xfId="2291" applyFont="1"/>
    <xf numFmtId="4" fontId="145" fillId="0" borderId="0" xfId="2291" applyNumberFormat="1" applyFont="1" applyAlignment="1">
      <alignment horizontal="left" vertical="center"/>
    </xf>
    <xf numFmtId="41" fontId="10" fillId="0" borderId="2" xfId="2186" applyFont="1" applyFill="1" applyBorder="1" applyAlignment="1">
      <alignment horizontal="left" vertical="center"/>
    </xf>
    <xf numFmtId="0" fontId="10" fillId="0" borderId="0" xfId="2186" applyNumberFormat="1" applyFont="1" applyFill="1" applyAlignment="1">
      <alignment vertical="center"/>
    </xf>
    <xf numFmtId="194" fontId="10" fillId="0" borderId="0" xfId="0" applyNumberFormat="1" applyFont="1" applyAlignment="1">
      <alignment horizontal="center" vertical="center"/>
    </xf>
    <xf numFmtId="193" fontId="21" fillId="0" borderId="30" xfId="0" applyNumberFormat="1" applyFont="1" applyBorder="1" applyAlignment="1">
      <alignment horizontal="right" shrinkToFit="1"/>
    </xf>
    <xf numFmtId="0" fontId="21" fillId="0" borderId="0" xfId="0" applyFont="1" applyAlignment="1">
      <alignment horizontal="center" shrinkToFit="1"/>
    </xf>
    <xf numFmtId="0" fontId="18" fillId="0" borderId="8" xfId="0" applyFont="1" applyBorder="1" applyAlignment="1">
      <alignment horizontal="center" vertical="center"/>
    </xf>
    <xf numFmtId="41" fontId="15" fillId="0" borderId="18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9" fillId="0" borderId="8" xfId="2187" applyNumberFormat="1" applyFont="1" applyFill="1" applyBorder="1" applyAlignment="1">
      <alignment vertical="center"/>
    </xf>
    <xf numFmtId="3" fontId="10" fillId="0" borderId="8" xfId="2187" applyNumberFormat="1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/>
    <xf numFmtId="0" fontId="10" fillId="0" borderId="0" xfId="0" applyFont="1"/>
    <xf numFmtId="41" fontId="10" fillId="0" borderId="8" xfId="2187" applyFont="1" applyFill="1" applyBorder="1" applyAlignment="1">
      <alignment vertical="center"/>
    </xf>
    <xf numFmtId="41" fontId="10" fillId="0" borderId="8" xfId="2187" applyFont="1" applyFill="1" applyBorder="1" applyAlignment="1">
      <alignment horizontal="right" vertical="center"/>
    </xf>
    <xf numFmtId="41" fontId="10" fillId="0" borderId="8" xfId="2188" applyFont="1" applyFill="1" applyBorder="1" applyAlignment="1">
      <alignment horizontal="right" vertical="center"/>
    </xf>
    <xf numFmtId="3" fontId="10" fillId="0" borderId="8" xfId="2188" applyNumberFormat="1" applyFont="1" applyFill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0" xfId="0" applyFont="1" applyAlignment="1">
      <alignment vertical="center"/>
    </xf>
    <xf numFmtId="41" fontId="10" fillId="0" borderId="8" xfId="2186" applyFont="1" applyFill="1" applyBorder="1" applyAlignment="1">
      <alignment horizontal="left" vertical="center"/>
    </xf>
    <xf numFmtId="0" fontId="10" fillId="11" borderId="8" xfId="0" applyFont="1" applyFill="1" applyBorder="1" applyAlignment="1">
      <alignment horizontal="center" vertical="center" shrinkToFit="1"/>
    </xf>
    <xf numFmtId="0" fontId="10" fillId="11" borderId="2" xfId="0" applyFont="1" applyFill="1" applyBorder="1" applyAlignment="1">
      <alignment vertical="center"/>
    </xf>
    <xf numFmtId="180" fontId="10" fillId="11" borderId="31" xfId="0" applyNumberFormat="1" applyFont="1" applyFill="1" applyBorder="1" applyAlignment="1">
      <alignment horizontal="left" vertical="center"/>
    </xf>
    <xf numFmtId="0" fontId="10" fillId="11" borderId="8" xfId="0" applyFont="1" applyFill="1" applyBorder="1" applyAlignment="1">
      <alignment horizontal="left" vertical="center"/>
    </xf>
    <xf numFmtId="0" fontId="17" fillId="11" borderId="8" xfId="0" applyFont="1" applyFill="1" applyBorder="1" applyAlignment="1">
      <alignment vertical="center"/>
    </xf>
    <xf numFmtId="0" fontId="65" fillId="11" borderId="8" xfId="0" applyFont="1" applyFill="1" applyBorder="1" applyAlignment="1">
      <alignment vertical="center"/>
    </xf>
    <xf numFmtId="0" fontId="66" fillId="11" borderId="8" xfId="0" applyFont="1" applyFill="1" applyBorder="1" applyAlignment="1">
      <alignment vertical="center"/>
    </xf>
    <xf numFmtId="3" fontId="10" fillId="0" borderId="8" xfId="2186" applyNumberFormat="1" applyFont="1" applyFill="1" applyBorder="1" applyAlignment="1">
      <alignment horizontal="center" vertical="center"/>
    </xf>
    <xf numFmtId="184" fontId="18" fillId="0" borderId="0" xfId="2294" quotePrefix="1" applyNumberFormat="1" applyFont="1" applyAlignment="1">
      <alignment horizontal="left" vertical="center"/>
    </xf>
    <xf numFmtId="184" fontId="10" fillId="0" borderId="8" xfId="2294" applyNumberFormat="1" applyFont="1" applyBorder="1" applyAlignment="1">
      <alignment horizontal="centerContinuous" vertical="center"/>
    </xf>
    <xf numFmtId="184" fontId="10" fillId="0" borderId="8" xfId="2194" applyNumberFormat="1" applyFont="1" applyFill="1" applyBorder="1" applyAlignment="1">
      <alignment horizontal="center" vertical="center"/>
    </xf>
    <xf numFmtId="184" fontId="10" fillId="0" borderId="19" xfId="2294" applyNumberFormat="1" applyFont="1" applyBorder="1" applyAlignment="1">
      <alignment horizontal="center" vertical="center"/>
    </xf>
    <xf numFmtId="184" fontId="10" fillId="0" borderId="8" xfId="2294" applyNumberFormat="1" applyFont="1" applyBorder="1" applyAlignment="1">
      <alignment horizontal="left" vertical="center" indent="1"/>
    </xf>
    <xf numFmtId="184" fontId="171" fillId="0" borderId="8" xfId="2194" applyNumberFormat="1" applyFont="1" applyBorder="1" applyAlignment="1">
      <alignment vertical="center"/>
    </xf>
    <xf numFmtId="10" fontId="10" fillId="0" borderId="8" xfId="2151" applyNumberFormat="1" applyFont="1" applyBorder="1" applyAlignment="1">
      <alignment horizontal="center" vertical="center"/>
    </xf>
    <xf numFmtId="184" fontId="10" fillId="0" borderId="8" xfId="2294" applyNumberFormat="1" applyFont="1" applyBorder="1" applyAlignment="1">
      <alignment vertical="center"/>
    </xf>
    <xf numFmtId="184" fontId="10" fillId="0" borderId="8" xfId="2194" applyNumberFormat="1" applyFont="1" applyBorder="1" applyAlignment="1">
      <alignment vertical="center"/>
    </xf>
    <xf numFmtId="184" fontId="10" fillId="0" borderId="20" xfId="2294" applyNumberFormat="1" applyFont="1" applyBorder="1" applyAlignment="1">
      <alignment horizontal="center" vertical="center"/>
    </xf>
    <xf numFmtId="184" fontId="17" fillId="0" borderId="8" xfId="2194" applyNumberFormat="1" applyFont="1" applyBorder="1" applyAlignment="1">
      <alignment vertical="center"/>
    </xf>
    <xf numFmtId="184" fontId="10" fillId="0" borderId="10" xfId="2294" applyNumberFormat="1" applyFont="1" applyBorder="1" applyAlignment="1">
      <alignment horizontal="center" vertical="center"/>
    </xf>
    <xf numFmtId="184" fontId="10" fillId="0" borderId="8" xfId="2294" applyNumberFormat="1" applyFont="1" applyBorder="1" applyAlignment="1">
      <alignment horizontal="center" vertical="center"/>
    </xf>
    <xf numFmtId="184" fontId="15" fillId="0" borderId="8" xfId="2194" applyNumberFormat="1" applyFont="1" applyBorder="1" applyAlignment="1">
      <alignment vertical="center"/>
    </xf>
    <xf numFmtId="192" fontId="10" fillId="0" borderId="8" xfId="2151" applyNumberFormat="1" applyFont="1" applyBorder="1" applyAlignment="1">
      <alignment horizontal="center" vertical="center"/>
    </xf>
    <xf numFmtId="184" fontId="65" fillId="0" borderId="8" xfId="2194" applyNumberFormat="1" applyFont="1" applyBorder="1" applyAlignment="1">
      <alignment vertical="center"/>
    </xf>
    <xf numFmtId="184" fontId="10" fillId="0" borderId="8" xfId="2294" quotePrefix="1" applyNumberFormat="1" applyFont="1" applyBorder="1" applyAlignment="1">
      <alignment horizontal="center" vertical="center"/>
    </xf>
    <xf numFmtId="184" fontId="10" fillId="0" borderId="8" xfId="2294" applyNumberFormat="1" applyFont="1" applyBorder="1" applyAlignment="1">
      <alignment horizontal="left" vertical="center" wrapText="1"/>
    </xf>
    <xf numFmtId="184" fontId="10" fillId="0" borderId="8" xfId="2294" applyNumberFormat="1" applyFont="1" applyBorder="1" applyAlignment="1">
      <alignment horizontal="left" vertical="center"/>
    </xf>
    <xf numFmtId="192" fontId="172" fillId="0" borderId="8" xfId="2194" applyNumberFormat="1" applyFont="1" applyBorder="1" applyAlignment="1">
      <alignment vertical="center"/>
    </xf>
    <xf numFmtId="184" fontId="172" fillId="0" borderId="8" xfId="2194" applyNumberFormat="1" applyFont="1" applyBorder="1" applyAlignment="1">
      <alignment vertical="center"/>
    </xf>
    <xf numFmtId="10" fontId="10" fillId="0" borderId="8" xfId="2294" applyNumberFormat="1" applyFont="1" applyBorder="1" applyAlignment="1">
      <alignment horizontal="center" vertical="center"/>
    </xf>
    <xf numFmtId="184" fontId="15" fillId="0" borderId="8" xfId="2194" applyNumberFormat="1" applyFont="1" applyFill="1" applyBorder="1" applyAlignment="1">
      <alignment vertical="center"/>
    </xf>
    <xf numFmtId="184" fontId="10" fillId="6" borderId="8" xfId="2194" applyNumberFormat="1" applyFont="1" applyFill="1" applyBorder="1" applyAlignment="1">
      <alignment vertical="center"/>
    </xf>
    <xf numFmtId="184" fontId="10" fillId="6" borderId="8" xfId="2294" applyNumberFormat="1" applyFont="1" applyFill="1" applyBorder="1" applyAlignment="1">
      <alignment vertical="center"/>
    </xf>
    <xf numFmtId="0" fontId="19" fillId="0" borderId="0" xfId="2295" applyFont="1">
      <alignment vertical="center"/>
    </xf>
    <xf numFmtId="0" fontId="10" fillId="0" borderId="29" xfId="2295" applyFont="1" applyBorder="1" applyAlignment="1">
      <alignment horizontal="center" vertical="center"/>
    </xf>
    <xf numFmtId="242" fontId="10" fillId="0" borderId="8" xfId="2186" applyNumberFormat="1" applyFont="1" applyBorder="1" applyAlignment="1">
      <alignment horizontal="center" vertical="center"/>
    </xf>
    <xf numFmtId="241" fontId="10" fillId="0" borderId="2" xfId="2186" applyNumberFormat="1" applyFont="1" applyBorder="1" applyAlignment="1">
      <alignment horizontal="right" vertical="center"/>
    </xf>
    <xf numFmtId="241" fontId="10" fillId="0" borderId="25" xfId="2186" applyNumberFormat="1" applyFont="1" applyBorder="1" applyAlignment="1">
      <alignment horizontal="center" vertical="center"/>
    </xf>
    <xf numFmtId="242" fontId="10" fillId="0" borderId="25" xfId="2295" applyNumberFormat="1" applyFont="1" applyBorder="1" applyAlignment="1">
      <alignment horizontal="left" vertical="center"/>
    </xf>
    <xf numFmtId="0" fontId="10" fillId="0" borderId="25" xfId="2295" applyFont="1" applyBorder="1" applyAlignment="1">
      <alignment horizontal="center" vertical="center"/>
    </xf>
    <xf numFmtId="241" fontId="10" fillId="0" borderId="31" xfId="2186" applyNumberFormat="1" applyFont="1" applyBorder="1" applyAlignment="1">
      <alignment horizontal="right" vertical="center"/>
    </xf>
    <xf numFmtId="241" fontId="10" fillId="0" borderId="8" xfId="2186" applyNumberFormat="1" applyFont="1" applyBorder="1" applyAlignment="1">
      <alignment horizontal="right" vertical="center"/>
    </xf>
    <xf numFmtId="241" fontId="10" fillId="0" borderId="8" xfId="2186" applyNumberFormat="1" applyFont="1" applyBorder="1" applyAlignment="1">
      <alignment horizontal="center" vertical="center"/>
    </xf>
    <xf numFmtId="0" fontId="10" fillId="0" borderId="8" xfId="2295" applyFont="1" applyBorder="1">
      <alignment vertical="center"/>
    </xf>
    <xf numFmtId="0" fontId="10" fillId="0" borderId="8" xfId="2295" applyFont="1" applyBorder="1" applyAlignment="1">
      <alignment horizontal="center" vertical="center"/>
    </xf>
    <xf numFmtId="0" fontId="10" fillId="0" borderId="31" xfId="2295" applyFont="1" applyBorder="1" applyAlignment="1">
      <alignment horizontal="center" vertical="center"/>
    </xf>
    <xf numFmtId="241" fontId="10" fillId="0" borderId="31" xfId="2186" applyNumberFormat="1" applyFont="1" applyBorder="1" applyAlignment="1">
      <alignment horizontal="center" vertical="center"/>
    </xf>
    <xf numFmtId="0" fontId="10" fillId="0" borderId="19" xfId="2295" applyFont="1" applyBorder="1" applyAlignment="1">
      <alignment horizontal="center" vertical="center"/>
    </xf>
    <xf numFmtId="9" fontId="10" fillId="0" borderId="19" xfId="2295" applyNumberFormat="1" applyFont="1" applyBorder="1" applyAlignment="1">
      <alignment horizontal="center" vertical="center"/>
    </xf>
    <xf numFmtId="241" fontId="10" fillId="0" borderId="33" xfId="2186" applyNumberFormat="1" applyFont="1" applyBorder="1" applyAlignment="1">
      <alignment horizontal="right" vertical="center"/>
    </xf>
    <xf numFmtId="241" fontId="10" fillId="0" borderId="0" xfId="2186" applyNumberFormat="1" applyFont="1" applyBorder="1" applyAlignment="1">
      <alignment horizontal="center" vertical="center"/>
    </xf>
    <xf numFmtId="242" fontId="10" fillId="0" borderId="0" xfId="2295" applyNumberFormat="1" applyFont="1" applyAlignment="1">
      <alignment horizontal="left" vertical="center"/>
    </xf>
    <xf numFmtId="0" fontId="10" fillId="0" borderId="0" xfId="2295" applyFont="1" applyAlignment="1">
      <alignment horizontal="center" vertical="center"/>
    </xf>
    <xf numFmtId="241" fontId="10" fillId="0" borderId="14" xfId="2186" applyNumberFormat="1" applyFont="1" applyBorder="1" applyAlignment="1">
      <alignment horizontal="center" vertical="center"/>
    </xf>
    <xf numFmtId="241" fontId="10" fillId="0" borderId="20" xfId="2186" applyNumberFormat="1" applyFont="1" applyBorder="1" applyAlignment="1">
      <alignment horizontal="right" vertical="center"/>
    </xf>
    <xf numFmtId="241" fontId="10" fillId="3" borderId="24" xfId="2186" applyNumberFormat="1" applyFont="1" applyFill="1" applyBorder="1" applyAlignment="1">
      <alignment horizontal="right" vertical="center"/>
    </xf>
    <xf numFmtId="241" fontId="10" fillId="3" borderId="24" xfId="2186" applyNumberFormat="1" applyFont="1" applyFill="1" applyBorder="1" applyAlignment="1">
      <alignment horizontal="center" vertical="center"/>
    </xf>
    <xf numFmtId="242" fontId="10" fillId="3" borderId="24" xfId="2295" applyNumberFormat="1" applyFont="1" applyFill="1" applyBorder="1" applyAlignment="1">
      <alignment horizontal="left" vertical="center"/>
    </xf>
    <xf numFmtId="0" fontId="10" fillId="3" borderId="24" xfId="2295" applyFont="1" applyFill="1" applyBorder="1" applyAlignment="1">
      <alignment horizontal="center" vertical="center"/>
    </xf>
    <xf numFmtId="241" fontId="18" fillId="3" borderId="24" xfId="2186" applyNumberFormat="1" applyFont="1" applyFill="1" applyBorder="1" applyAlignment="1">
      <alignment horizontal="right" vertical="center"/>
    </xf>
    <xf numFmtId="241" fontId="10" fillId="3" borderId="42" xfId="2186" applyNumberFormat="1" applyFont="1" applyFill="1" applyBorder="1" applyAlignment="1">
      <alignment horizontal="right" vertical="center"/>
    </xf>
    <xf numFmtId="0" fontId="10" fillId="0" borderId="45" xfId="2295" applyFont="1" applyBorder="1">
      <alignment vertical="center"/>
    </xf>
    <xf numFmtId="0" fontId="18" fillId="0" borderId="0" xfId="2296" applyFont="1" applyAlignment="1">
      <alignment vertical="center"/>
    </xf>
    <xf numFmtId="0" fontId="18" fillId="0" borderId="2" xfId="2299" applyFont="1" applyBorder="1" applyAlignment="1">
      <alignment vertical="center"/>
    </xf>
    <xf numFmtId="0" fontId="10" fillId="0" borderId="8" xfId="2299" applyFont="1" applyBorder="1" applyAlignment="1">
      <alignment horizontal="left" vertical="center"/>
    </xf>
    <xf numFmtId="0" fontId="10" fillId="0" borderId="8" xfId="2299" applyFont="1" applyBorder="1" applyAlignment="1">
      <alignment horizontal="left" vertical="center" shrinkToFit="1"/>
    </xf>
    <xf numFmtId="0" fontId="10" fillId="0" borderId="8" xfId="2299" applyFont="1" applyBorder="1" applyAlignment="1">
      <alignment horizontal="center" vertical="center"/>
    </xf>
    <xf numFmtId="0" fontId="10" fillId="0" borderId="0" xfId="2296" applyFont="1" applyAlignment="1">
      <alignment vertical="center"/>
    </xf>
    <xf numFmtId="41" fontId="10" fillId="0" borderId="0" xfId="2186" applyFont="1" applyFill="1" applyAlignment="1">
      <alignment vertical="center" shrinkToFit="1"/>
    </xf>
    <xf numFmtId="0" fontId="18" fillId="0" borderId="0" xfId="2298" applyFont="1" applyAlignment="1">
      <alignment horizontal="centerContinuous" vertical="center"/>
    </xf>
    <xf numFmtId="0" fontId="10" fillId="0" borderId="0" xfId="2298" applyFont="1" applyAlignment="1">
      <alignment horizontal="centerContinuous" vertical="center"/>
    </xf>
    <xf numFmtId="0" fontId="10" fillId="0" borderId="0" xfId="2298" applyFont="1" applyAlignment="1">
      <alignment vertical="center" shrinkToFit="1"/>
    </xf>
    <xf numFmtId="0" fontId="10" fillId="0" borderId="0" xfId="2298" applyFont="1" applyAlignment="1">
      <alignment horizontal="center" vertical="center"/>
    </xf>
    <xf numFmtId="0" fontId="10" fillId="0" borderId="0" xfId="2298" applyFont="1" applyAlignment="1">
      <alignment vertical="center"/>
    </xf>
    <xf numFmtId="3" fontId="10" fillId="0" borderId="0" xfId="2186" applyNumberFormat="1" applyFont="1" applyFill="1" applyAlignment="1">
      <alignment vertical="center"/>
    </xf>
    <xf numFmtId="41" fontId="10" fillId="0" borderId="0" xfId="2186" applyFont="1" applyFill="1" applyAlignment="1">
      <alignment vertical="center"/>
    </xf>
    <xf numFmtId="38" fontId="10" fillId="0" borderId="8" xfId="2186" applyNumberFormat="1" applyFont="1" applyFill="1" applyBorder="1" applyAlignment="1">
      <alignment horizontal="center" vertical="center"/>
    </xf>
    <xf numFmtId="185" fontId="9" fillId="0" borderId="0" xfId="2186" applyNumberFormat="1" applyFont="1" applyFill="1" applyBorder="1" applyAlignment="1">
      <alignment vertical="center"/>
    </xf>
    <xf numFmtId="185" fontId="9" fillId="0" borderId="8" xfId="2187" applyNumberFormat="1" applyFont="1" applyFill="1" applyBorder="1" applyAlignment="1">
      <alignment vertical="center"/>
    </xf>
    <xf numFmtId="41" fontId="10" fillId="0" borderId="8" xfId="2186" applyFont="1" applyBorder="1" applyAlignment="1">
      <alignment horizontal="left" vertical="center" shrinkToFit="1"/>
    </xf>
    <xf numFmtId="3" fontId="10" fillId="0" borderId="8" xfId="2186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shrinkToFit="1"/>
    </xf>
    <xf numFmtId="194" fontId="10" fillId="0" borderId="8" xfId="0" applyNumberFormat="1" applyFont="1" applyBorder="1" applyAlignment="1">
      <alignment horizontal="center" vertical="center"/>
    </xf>
    <xf numFmtId="182" fontId="10" fillId="0" borderId="0" xfId="0" applyNumberFormat="1" applyFont="1" applyAlignment="1">
      <alignment vertical="center"/>
    </xf>
    <xf numFmtId="3" fontId="16" fillId="0" borderId="8" xfId="0" applyNumberFormat="1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41" fontId="10" fillId="0" borderId="8" xfId="2186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41" fontId="10" fillId="0" borderId="8" xfId="2188" applyFont="1" applyFill="1" applyBorder="1" applyAlignment="1">
      <alignment vertical="center"/>
    </xf>
    <xf numFmtId="3" fontId="10" fillId="0" borderId="8" xfId="2187" applyNumberFormat="1" applyFont="1" applyFill="1" applyBorder="1" applyAlignment="1">
      <alignment horizontal="right" vertical="center"/>
    </xf>
    <xf numFmtId="41" fontId="10" fillId="0" borderId="8" xfId="0" applyNumberFormat="1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center"/>
    </xf>
    <xf numFmtId="0" fontId="10" fillId="11" borderId="8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0" fontId="10" fillId="0" borderId="8" xfId="2186" applyNumberFormat="1" applyFont="1" applyBorder="1" applyAlignment="1">
      <alignment vertical="center"/>
    </xf>
    <xf numFmtId="41" fontId="10" fillId="0" borderId="8" xfId="2186" applyFont="1" applyFill="1" applyBorder="1" applyAlignment="1">
      <alignment horizontal="center" vertical="center"/>
    </xf>
    <xf numFmtId="3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center" vertical="center"/>
    </xf>
    <xf numFmtId="41" fontId="10" fillId="0" borderId="8" xfId="0" applyNumberFormat="1" applyFont="1" applyBorder="1" applyAlignment="1">
      <alignment horizontal="center" vertical="center"/>
    </xf>
    <xf numFmtId="41" fontId="10" fillId="0" borderId="8" xfId="2290" applyNumberFormat="1" applyFont="1" applyBorder="1" applyAlignment="1">
      <alignment horizontal="right" vertical="center" shrinkToFit="1"/>
    </xf>
    <xf numFmtId="41" fontId="10" fillId="0" borderId="8" xfId="2187" applyFont="1" applyFill="1" applyBorder="1" applyAlignment="1">
      <alignment horizontal="center" vertical="center"/>
    </xf>
    <xf numFmtId="0" fontId="10" fillId="0" borderId="8" xfId="2187" applyNumberFormat="1" applyFont="1" applyFill="1" applyBorder="1" applyAlignment="1">
      <alignment vertical="center" shrinkToFit="1"/>
    </xf>
    <xf numFmtId="0" fontId="10" fillId="0" borderId="8" xfId="2187" applyNumberFormat="1" applyFont="1" applyFill="1" applyBorder="1" applyAlignment="1">
      <alignment horizontal="center" vertical="center"/>
    </xf>
    <xf numFmtId="3" fontId="10" fillId="0" borderId="0" xfId="2186" applyNumberFormat="1" applyFont="1" applyBorder="1" applyAlignment="1">
      <alignment vertical="center"/>
    </xf>
    <xf numFmtId="289" fontId="10" fillId="0" borderId="8" xfId="2186" applyNumberFormat="1" applyFont="1" applyBorder="1" applyAlignment="1">
      <alignment horizontal="center" vertical="center"/>
    </xf>
    <xf numFmtId="289" fontId="10" fillId="0" borderId="25" xfId="2295" applyNumberFormat="1" applyFont="1" applyBorder="1" applyAlignment="1">
      <alignment horizontal="left" vertical="center"/>
    </xf>
    <xf numFmtId="0" fontId="10" fillId="11" borderId="2" xfId="0" applyFont="1" applyFill="1" applyBorder="1" applyAlignment="1">
      <alignment vertical="center" shrinkToFit="1"/>
    </xf>
    <xf numFmtId="180" fontId="10" fillId="11" borderId="31" xfId="0" applyNumberFormat="1" applyFont="1" applyFill="1" applyBorder="1" applyAlignment="1">
      <alignment horizontal="left" vertical="center" shrinkToFit="1"/>
    </xf>
    <xf numFmtId="188" fontId="10" fillId="0" borderId="8" xfId="2151" applyNumberFormat="1" applyFont="1" applyBorder="1" applyAlignment="1">
      <alignment horizontal="center" vertical="center"/>
    </xf>
    <xf numFmtId="41" fontId="10" fillId="0" borderId="2" xfId="2186" applyFont="1" applyFill="1" applyBorder="1" applyAlignment="1">
      <alignment vertical="center" shrinkToFit="1"/>
    </xf>
    <xf numFmtId="0" fontId="8" fillId="0" borderId="0" xfId="0" applyFont="1"/>
    <xf numFmtId="194" fontId="15" fillId="0" borderId="8" xfId="2299" applyNumberFormat="1" applyFont="1" applyBorder="1" applyAlignment="1">
      <alignment horizontal="left" vertical="center" shrinkToFit="1"/>
    </xf>
    <xf numFmtId="241" fontId="10" fillId="0" borderId="2" xfId="2186" applyNumberFormat="1" applyFont="1" applyFill="1" applyBorder="1" applyAlignment="1">
      <alignment horizontal="right" vertical="center"/>
    </xf>
    <xf numFmtId="241" fontId="10" fillId="0" borderId="25" xfId="2186" applyNumberFormat="1" applyFont="1" applyFill="1" applyBorder="1" applyAlignment="1">
      <alignment horizontal="center" vertical="center"/>
    </xf>
    <xf numFmtId="241" fontId="10" fillId="0" borderId="8" xfId="2186" applyNumberFormat="1" applyFont="1" applyFill="1" applyBorder="1" applyAlignment="1">
      <alignment horizontal="right" vertical="center"/>
    </xf>
    <xf numFmtId="241" fontId="10" fillId="0" borderId="31" xfId="2186" applyNumberFormat="1" applyFont="1" applyFill="1" applyBorder="1" applyAlignment="1">
      <alignment horizontal="right" vertical="center"/>
    </xf>
    <xf numFmtId="289" fontId="10" fillId="0" borderId="8" xfId="2186" applyNumberFormat="1" applyFont="1" applyFill="1" applyBorder="1" applyAlignment="1">
      <alignment horizontal="center" vertical="center"/>
    </xf>
    <xf numFmtId="184" fontId="65" fillId="0" borderId="8" xfId="2194" applyNumberFormat="1" applyFont="1" applyFill="1" applyBorder="1" applyAlignment="1">
      <alignment vertical="center"/>
    </xf>
    <xf numFmtId="10" fontId="10" fillId="0" borderId="8" xfId="2151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 shrinkToFit="1"/>
    </xf>
    <xf numFmtId="0" fontId="40" fillId="0" borderId="13" xfId="0" applyFont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291" fontId="10" fillId="0" borderId="0" xfId="2186" applyNumberFormat="1" applyFont="1" applyBorder="1" applyAlignment="1">
      <alignment vertical="center"/>
    </xf>
    <xf numFmtId="291" fontId="16" fillId="0" borderId="0" xfId="0" applyNumberFormat="1" applyFont="1" applyAlignment="1">
      <alignment vertical="center"/>
    </xf>
    <xf numFmtId="0" fontId="9" fillId="11" borderId="8" xfId="2186" applyNumberFormat="1" applyFont="1" applyFill="1" applyBorder="1" applyAlignment="1">
      <alignment vertical="center"/>
    </xf>
    <xf numFmtId="185" fontId="9" fillId="11" borderId="8" xfId="2186" applyNumberFormat="1" applyFont="1" applyFill="1" applyBorder="1" applyAlignment="1">
      <alignment vertical="center"/>
    </xf>
    <xf numFmtId="0" fontId="9" fillId="11" borderId="8" xfId="0" applyFont="1" applyFill="1" applyBorder="1" applyAlignment="1">
      <alignment horizontal="center" vertical="center"/>
    </xf>
    <xf numFmtId="0" fontId="10" fillId="11" borderId="0" xfId="0" applyFont="1" applyFill="1" applyAlignment="1">
      <alignment vertical="center"/>
    </xf>
    <xf numFmtId="0" fontId="9" fillId="0" borderId="33" xfId="0" applyFont="1" applyBorder="1"/>
    <xf numFmtId="292" fontId="10" fillId="0" borderId="8" xfId="2194" applyNumberFormat="1" applyFont="1" applyBorder="1" applyAlignment="1">
      <alignment vertical="center"/>
    </xf>
    <xf numFmtId="0" fontId="10" fillId="11" borderId="8" xfId="0" applyFont="1" applyFill="1" applyBorder="1" applyAlignment="1">
      <alignment vertical="center" shrinkToFit="1"/>
    </xf>
    <xf numFmtId="3" fontId="10" fillId="11" borderId="8" xfId="2186" applyNumberFormat="1" applyFont="1" applyFill="1" applyBorder="1" applyAlignment="1">
      <alignment vertical="center"/>
    </xf>
    <xf numFmtId="41" fontId="10" fillId="11" borderId="8" xfId="2290" applyNumberFormat="1" applyFont="1" applyFill="1" applyBorder="1" applyAlignment="1">
      <alignment vertical="center"/>
    </xf>
    <xf numFmtId="3" fontId="10" fillId="11" borderId="8" xfId="2290" applyNumberFormat="1" applyFont="1" applyFill="1" applyBorder="1" applyAlignment="1">
      <alignment vertical="center"/>
    </xf>
    <xf numFmtId="41" fontId="10" fillId="11" borderId="8" xfId="2186" applyFont="1" applyFill="1" applyBorder="1" applyAlignment="1">
      <alignment horizontal="right" vertical="center"/>
    </xf>
    <xf numFmtId="3" fontId="10" fillId="11" borderId="8" xfId="0" applyNumberFormat="1" applyFont="1" applyFill="1" applyBorder="1" applyAlignment="1">
      <alignment horizontal="center" vertical="center"/>
    </xf>
    <xf numFmtId="41" fontId="10" fillId="11" borderId="8" xfId="2186" applyFont="1" applyFill="1" applyBorder="1" applyAlignment="1">
      <alignment vertical="center"/>
    </xf>
    <xf numFmtId="41" fontId="10" fillId="11" borderId="8" xfId="2187" applyFont="1" applyFill="1" applyBorder="1" applyAlignment="1">
      <alignment horizontal="center" vertical="center"/>
    </xf>
    <xf numFmtId="0" fontId="10" fillId="11" borderId="8" xfId="2186" applyNumberFormat="1" applyFont="1" applyFill="1" applyBorder="1" applyAlignment="1">
      <alignment vertical="center"/>
    </xf>
    <xf numFmtId="3" fontId="10" fillId="11" borderId="8" xfId="2186" quotePrefix="1" applyNumberFormat="1" applyFont="1" applyFill="1" applyBorder="1" applyAlignment="1">
      <alignment horizontal="center" vertical="center"/>
    </xf>
    <xf numFmtId="0" fontId="9" fillId="11" borderId="8" xfId="0" applyFont="1" applyFill="1" applyBorder="1"/>
    <xf numFmtId="0" fontId="9" fillId="11" borderId="0" xfId="0" applyFont="1" applyFill="1" applyAlignment="1">
      <alignment vertical="center"/>
    </xf>
    <xf numFmtId="0" fontId="9" fillId="11" borderId="0" xfId="0" applyFont="1" applyFill="1"/>
    <xf numFmtId="0" fontId="8" fillId="0" borderId="0" xfId="0" applyFo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1" fillId="0" borderId="0" xfId="0" applyFont="1" applyBorder="1"/>
    <xf numFmtId="42" fontId="21" fillId="0" borderId="0" xfId="2282" applyFont="1" applyBorder="1" applyAlignment="1">
      <alignment horizontal="center"/>
    </xf>
    <xf numFmtId="193" fontId="21" fillId="0" borderId="0" xfId="2282" applyNumberFormat="1" applyFont="1" applyBorder="1" applyAlignment="1">
      <alignment horizontal="right" shrinkToFit="1"/>
    </xf>
    <xf numFmtId="3" fontId="10" fillId="0" borderId="8" xfId="2186" applyNumberFormat="1" applyFont="1" applyFill="1" applyBorder="1" applyAlignment="1">
      <alignment vertical="center"/>
    </xf>
    <xf numFmtId="14" fontId="10" fillId="0" borderId="0" xfId="0" applyNumberFormat="1" applyFont="1" applyAlignment="1">
      <alignment vertical="center"/>
    </xf>
    <xf numFmtId="0" fontId="10" fillId="0" borderId="8" xfId="0" applyFont="1" applyFill="1" applyBorder="1" applyAlignment="1">
      <alignment vertical="center" shrinkToFit="1"/>
    </xf>
    <xf numFmtId="3" fontId="10" fillId="0" borderId="8" xfId="2186" applyNumberFormat="1" applyFont="1" applyFill="1" applyBorder="1" applyAlignment="1">
      <alignment vertical="center"/>
    </xf>
    <xf numFmtId="3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3" fontId="10" fillId="0" borderId="8" xfId="2186" applyNumberFormat="1" applyFont="1" applyFill="1" applyBorder="1" applyAlignment="1">
      <alignment vertical="center"/>
    </xf>
    <xf numFmtId="3" fontId="10" fillId="0" borderId="8" xfId="5259" applyNumberFormat="1" applyFont="1" applyBorder="1" applyAlignment="1">
      <alignment vertical="center"/>
    </xf>
    <xf numFmtId="41" fontId="10" fillId="0" borderId="8" xfId="5259" applyFont="1" applyBorder="1" applyAlignment="1">
      <alignment vertical="center" shrinkToFit="1"/>
    </xf>
    <xf numFmtId="3" fontId="15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 shrinkToFi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 shrinkToFit="1"/>
    </xf>
    <xf numFmtId="41" fontId="10" fillId="0" borderId="8" xfId="0" applyNumberFormat="1" applyFont="1" applyBorder="1" applyAlignment="1">
      <alignment vertical="center"/>
    </xf>
    <xf numFmtId="41" fontId="10" fillId="0" borderId="2" xfId="0" applyNumberFormat="1" applyFont="1" applyBorder="1" applyAlignment="1">
      <alignment vertical="center"/>
    </xf>
    <xf numFmtId="41" fontId="10" fillId="0" borderId="8" xfId="0" applyNumberFormat="1" applyFont="1" applyBorder="1" applyAlignment="1">
      <alignment vertical="center" shrinkToFit="1"/>
    </xf>
    <xf numFmtId="0" fontId="15" fillId="0" borderId="10" xfId="0" applyFont="1" applyBorder="1" applyAlignment="1">
      <alignment horizontal="left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0" xfId="0" applyFont="1" applyBorder="1" applyAlignment="1">
      <alignment vertical="center" shrinkToFit="1"/>
    </xf>
    <xf numFmtId="41" fontId="10" fillId="0" borderId="8" xfId="5259" applyFont="1" applyFill="1" applyBorder="1" applyAlignment="1">
      <alignment vertical="center" shrinkToFit="1"/>
    </xf>
    <xf numFmtId="41" fontId="17" fillId="0" borderId="10" xfId="0" applyNumberFormat="1" applyFont="1" applyBorder="1" applyAlignment="1">
      <alignment horizontal="left" vertical="center"/>
    </xf>
    <xf numFmtId="41" fontId="17" fillId="0" borderId="10" xfId="0" applyNumberFormat="1" applyFont="1" applyBorder="1" applyAlignment="1">
      <alignment horizontal="left" vertical="center" shrinkToFit="1"/>
    </xf>
    <xf numFmtId="41" fontId="10" fillId="0" borderId="2" xfId="0" quotePrefix="1" applyNumberFormat="1" applyFont="1" applyBorder="1" applyAlignment="1">
      <alignment vertical="center"/>
    </xf>
    <xf numFmtId="41" fontId="15" fillId="0" borderId="8" xfId="0" applyNumberFormat="1" applyFont="1" applyBorder="1" applyAlignment="1">
      <alignment horizontal="left" vertical="center"/>
    </xf>
    <xf numFmtId="3" fontId="10" fillId="0" borderId="8" xfId="5259" applyNumberFormat="1" applyFont="1" applyFill="1" applyBorder="1" applyAlignment="1">
      <alignment vertical="center"/>
    </xf>
    <xf numFmtId="41" fontId="10" fillId="0" borderId="10" xfId="5259" applyFont="1" applyBorder="1" applyAlignment="1">
      <alignment vertical="center" shrinkToFit="1"/>
    </xf>
    <xf numFmtId="0" fontId="10" fillId="0" borderId="10" xfId="0" applyFont="1" applyBorder="1" applyAlignment="1">
      <alignment horizontal="center" vertical="center" shrinkToFit="1"/>
    </xf>
    <xf numFmtId="41" fontId="10" fillId="0" borderId="8" xfId="0" applyNumberFormat="1" applyFont="1" applyBorder="1" applyAlignment="1">
      <alignment horizontal="center" vertical="center"/>
    </xf>
    <xf numFmtId="0" fontId="37" fillId="0" borderId="0" xfId="2301" applyFont="1" applyAlignment="1">
      <alignment horizontal="center" vertical="center"/>
    </xf>
    <xf numFmtId="0" fontId="38" fillId="0" borderId="0" xfId="2301" applyFont="1" applyAlignment="1">
      <alignment horizontal="center" vertical="center"/>
    </xf>
    <xf numFmtId="0" fontId="21" fillId="0" borderId="30" xfId="0" applyFont="1" applyBorder="1" applyAlignment="1">
      <alignment horizontal="left"/>
    </xf>
    <xf numFmtId="0" fontId="0" fillId="0" borderId="30" xfId="0" applyBorder="1" applyAlignment="1">
      <alignment horizontal="left"/>
    </xf>
    <xf numFmtId="0" fontId="21" fillId="0" borderId="30" xfId="2193" applyFont="1" applyBorder="1" applyAlignment="1">
      <alignment horizontal="center" vertical="center"/>
    </xf>
    <xf numFmtId="0" fontId="41" fillId="0" borderId="30" xfId="0" applyFont="1" applyBorder="1" applyAlignment="1">
      <alignment horizontal="center"/>
    </xf>
    <xf numFmtId="0" fontId="40" fillId="0" borderId="0" xfId="0" applyFont="1"/>
    <xf numFmtId="0" fontId="8" fillId="0" borderId="0" xfId="0" applyFont="1"/>
    <xf numFmtId="0" fontId="39" fillId="0" borderId="0" xfId="0" applyFont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3" xfId="0" applyFont="1" applyBorder="1" applyAlignment="1">
      <alignment vertical="center"/>
    </xf>
    <xf numFmtId="0" fontId="40" fillId="0" borderId="30" xfId="0" applyFont="1" applyBorder="1" applyAlignment="1">
      <alignment horizontal="left"/>
    </xf>
    <xf numFmtId="184" fontId="173" fillId="0" borderId="0" xfId="2294" applyNumberFormat="1" applyFont="1" applyAlignment="1">
      <alignment horizontal="center" vertical="center"/>
    </xf>
    <xf numFmtId="41" fontId="10" fillId="0" borderId="0" xfId="2186" applyFont="1" applyBorder="1" applyAlignment="1">
      <alignment horizontal="right" vertical="center"/>
    </xf>
    <xf numFmtId="184" fontId="10" fillId="0" borderId="8" xfId="2294" quotePrefix="1" applyNumberFormat="1" applyFont="1" applyBorder="1" applyAlignment="1">
      <alignment horizontal="center" vertical="center"/>
    </xf>
    <xf numFmtId="184" fontId="10" fillId="0" borderId="19" xfId="2294" applyNumberFormat="1" applyFont="1" applyBorder="1" applyAlignment="1">
      <alignment horizontal="center" vertical="center" textRotation="255"/>
    </xf>
    <xf numFmtId="184" fontId="10" fillId="0" borderId="20" xfId="2294" applyNumberFormat="1" applyFont="1" applyBorder="1" applyAlignment="1">
      <alignment horizontal="center" vertical="center" textRotation="255"/>
    </xf>
    <xf numFmtId="184" fontId="10" fillId="0" borderId="10" xfId="2294" applyNumberFormat="1" applyFont="1" applyBorder="1" applyAlignment="1">
      <alignment horizontal="center" vertical="center" textRotation="255"/>
    </xf>
    <xf numFmtId="184" fontId="10" fillId="6" borderId="8" xfId="2294" applyNumberFormat="1" applyFont="1" applyFill="1" applyBorder="1" applyAlignment="1">
      <alignment horizontal="center" vertical="center"/>
    </xf>
    <xf numFmtId="184" fontId="10" fillId="0" borderId="8" xfId="2294" applyNumberFormat="1" applyFont="1" applyBorder="1" applyAlignment="1">
      <alignment horizontal="center" vertical="center"/>
    </xf>
    <xf numFmtId="0" fontId="10" fillId="0" borderId="29" xfId="2295" applyFont="1" applyBorder="1" applyAlignment="1">
      <alignment horizontal="center" vertical="center"/>
    </xf>
    <xf numFmtId="0" fontId="174" fillId="0" borderId="0" xfId="2295" applyFont="1" applyAlignment="1">
      <alignment horizontal="center" vertical="center"/>
    </xf>
    <xf numFmtId="0" fontId="10" fillId="3" borderId="46" xfId="2295" applyFont="1" applyFill="1" applyBorder="1" applyAlignment="1">
      <alignment horizontal="center" vertical="center"/>
    </xf>
    <xf numFmtId="0" fontId="10" fillId="3" borderId="24" xfId="2295" applyFont="1" applyFill="1" applyBorder="1" applyAlignment="1">
      <alignment horizontal="center" vertical="center"/>
    </xf>
    <xf numFmtId="41" fontId="10" fillId="0" borderId="2" xfId="2186" applyFont="1" applyBorder="1" applyAlignment="1">
      <alignment horizontal="left" vertical="center" indent="1"/>
    </xf>
    <xf numFmtId="41" fontId="10" fillId="0" borderId="31" xfId="2186" applyFont="1" applyBorder="1" applyAlignment="1">
      <alignment horizontal="left" vertical="center" indent="1"/>
    </xf>
    <xf numFmtId="182" fontId="15" fillId="0" borderId="8" xfId="0" applyNumberFormat="1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3" fontId="15" fillId="0" borderId="10" xfId="0" applyNumberFormat="1" applyFont="1" applyBorder="1" applyAlignment="1">
      <alignment horizontal="center" vertical="center"/>
    </xf>
    <xf numFmtId="182" fontId="15" fillId="0" borderId="8" xfId="0" applyNumberFormat="1" applyFont="1" applyBorder="1" applyAlignment="1">
      <alignment horizontal="center" vertical="center" textRotation="255"/>
    </xf>
    <xf numFmtId="41" fontId="15" fillId="0" borderId="8" xfId="0" applyNumberFormat="1" applyFont="1" applyBorder="1" applyAlignment="1">
      <alignment horizontal="center" vertical="center"/>
    </xf>
    <xf numFmtId="41" fontId="10" fillId="0" borderId="8" xfId="2186" applyFont="1" applyBorder="1" applyAlignment="1">
      <alignment horizontal="left" vertical="center" indent="1"/>
    </xf>
    <xf numFmtId="41" fontId="18" fillId="0" borderId="2" xfId="2186" applyFont="1" applyBorder="1" applyAlignment="1">
      <alignment horizontal="center" vertical="center"/>
    </xf>
    <xf numFmtId="41" fontId="18" fillId="0" borderId="31" xfId="2186" applyFont="1" applyBorder="1" applyAlignment="1">
      <alignment horizontal="center" vertical="center"/>
    </xf>
    <xf numFmtId="41" fontId="10" fillId="0" borderId="8" xfId="0" applyNumberFormat="1" applyFont="1" applyBorder="1" applyAlignment="1">
      <alignment horizontal="center" vertical="center"/>
    </xf>
    <xf numFmtId="194" fontId="10" fillId="0" borderId="8" xfId="0" applyNumberFormat="1" applyFont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82" fontId="10" fillId="0" borderId="19" xfId="0" applyNumberFormat="1" applyFont="1" applyBorder="1" applyAlignment="1">
      <alignment horizontal="center" vertical="center"/>
    </xf>
    <xf numFmtId="182" fontId="10" fillId="0" borderId="10" xfId="0" applyNumberFormat="1" applyFont="1" applyBorder="1" applyAlignment="1">
      <alignment horizontal="center" vertical="center"/>
    </xf>
    <xf numFmtId="182" fontId="15" fillId="0" borderId="19" xfId="0" applyNumberFormat="1" applyFont="1" applyBorder="1" applyAlignment="1">
      <alignment horizontal="center" vertical="center"/>
    </xf>
    <xf numFmtId="182" fontId="15" fillId="0" borderId="10" xfId="0" applyNumberFormat="1" applyFont="1" applyBorder="1" applyAlignment="1">
      <alignment horizontal="center" vertical="center"/>
    </xf>
    <xf numFmtId="41" fontId="10" fillId="0" borderId="8" xfId="5259" applyFont="1" applyBorder="1" applyAlignment="1">
      <alignment horizontal="left" vertical="center" shrinkToFit="1"/>
    </xf>
    <xf numFmtId="0" fontId="10" fillId="0" borderId="19" xfId="2298" applyFont="1" applyBorder="1" applyAlignment="1">
      <alignment horizontal="center" vertical="center"/>
    </xf>
    <xf numFmtId="0" fontId="10" fillId="0" borderId="10" xfId="2298" applyFont="1" applyBorder="1" applyAlignment="1">
      <alignment horizontal="center" vertical="center"/>
    </xf>
    <xf numFmtId="3" fontId="10" fillId="0" borderId="2" xfId="2186" applyNumberFormat="1" applyFont="1" applyFill="1" applyBorder="1" applyAlignment="1">
      <alignment horizontal="center" vertical="center"/>
    </xf>
    <xf numFmtId="3" fontId="10" fillId="0" borderId="31" xfId="2186" applyNumberFormat="1" applyFont="1" applyFill="1" applyBorder="1" applyAlignment="1">
      <alignment horizontal="center" vertical="center"/>
    </xf>
    <xf numFmtId="3" fontId="10" fillId="0" borderId="19" xfId="2289" applyNumberFormat="1" applyFont="1" applyBorder="1" applyAlignment="1">
      <alignment horizontal="center" vertical="center"/>
    </xf>
    <xf numFmtId="3" fontId="10" fillId="0" borderId="10" xfId="2289" applyNumberFormat="1" applyFont="1" applyBorder="1" applyAlignment="1">
      <alignment horizontal="center" vertical="center"/>
    </xf>
    <xf numFmtId="0" fontId="10" fillId="0" borderId="8" xfId="2298" applyFont="1" applyBorder="1" applyAlignment="1">
      <alignment horizontal="center" vertical="center"/>
    </xf>
    <xf numFmtId="3" fontId="10" fillId="0" borderId="8" xfId="2186" applyNumberFormat="1" applyFont="1" applyFill="1" applyBorder="1" applyAlignment="1">
      <alignment horizontal="center" vertical="center"/>
    </xf>
    <xf numFmtId="3" fontId="10" fillId="0" borderId="8" xfId="2289" applyNumberFormat="1" applyFont="1" applyBorder="1" applyAlignment="1">
      <alignment horizontal="center" vertical="center"/>
    </xf>
    <xf numFmtId="0" fontId="10" fillId="0" borderId="8" xfId="2298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43" fillId="0" borderId="0" xfId="2291" applyFont="1" applyAlignment="1">
      <alignment horizontal="center" vertical="center"/>
    </xf>
    <xf numFmtId="0" fontId="142" fillId="0" borderId="0" xfId="2291" applyFont="1" applyAlignment="1">
      <alignment horizontal="center" vertical="center"/>
    </xf>
    <xf numFmtId="0" fontId="106" fillId="0" borderId="0" xfId="2291"/>
    <xf numFmtId="3" fontId="144" fillId="0" borderId="2" xfId="2291" applyNumberFormat="1" applyFont="1" applyBorder="1" applyAlignment="1">
      <alignment horizontal="center" vertical="center"/>
    </xf>
    <xf numFmtId="3" fontId="144" fillId="0" borderId="25" xfId="2291" applyNumberFormat="1" applyFont="1" applyBorder="1" applyAlignment="1">
      <alignment horizontal="center" vertical="center"/>
    </xf>
    <xf numFmtId="41" fontId="20" fillId="0" borderId="0" xfId="2186" applyFont="1" applyBorder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271" fontId="20" fillId="0" borderId="0" xfId="0" applyNumberFormat="1" applyFont="1" applyAlignment="1">
      <alignment horizontal="center" vertical="center"/>
    </xf>
    <xf numFmtId="0" fontId="18" fillId="0" borderId="8" xfId="2289" applyFont="1" applyBorder="1" applyAlignment="1">
      <alignment horizontal="center" vertical="center"/>
    </xf>
    <xf numFmtId="0" fontId="18" fillId="0" borderId="19" xfId="2289" applyFont="1" applyBorder="1" applyAlignment="1">
      <alignment horizontal="center" vertical="center"/>
    </xf>
    <xf numFmtId="0" fontId="10" fillId="0" borderId="10" xfId="2289" applyFont="1" applyBorder="1">
      <alignment vertical="center"/>
    </xf>
    <xf numFmtId="0" fontId="10" fillId="0" borderId="10" xfId="2289" applyFont="1" applyBorder="1" applyAlignment="1">
      <alignment horizontal="center" vertical="center"/>
    </xf>
    <xf numFmtId="0" fontId="18" fillId="0" borderId="19" xfId="2289" applyFont="1" applyBorder="1" applyAlignment="1">
      <alignment horizontal="center" vertical="center" wrapText="1"/>
    </xf>
    <xf numFmtId="0" fontId="18" fillId="0" borderId="10" xfId="2289" applyFont="1" applyBorder="1" applyAlignment="1">
      <alignment horizontal="center" vertical="center"/>
    </xf>
    <xf numFmtId="0" fontId="18" fillId="0" borderId="2" xfId="2289" applyFont="1" applyBorder="1" applyAlignment="1">
      <alignment horizontal="center" vertical="center"/>
    </xf>
    <xf numFmtId="0" fontId="18" fillId="0" borderId="25" xfId="2289" applyFont="1" applyBorder="1" applyAlignment="1">
      <alignment horizontal="center" vertical="center"/>
    </xf>
    <xf numFmtId="0" fontId="10" fillId="0" borderId="8" xfId="2289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0" fillId="0" borderId="47" xfId="0" applyFont="1" applyBorder="1"/>
    <xf numFmtId="0" fontId="20" fillId="0" borderId="48" xfId="0" applyFont="1" applyBorder="1"/>
    <xf numFmtId="0" fontId="62" fillId="0" borderId="0" xfId="0" applyFont="1" applyAlignment="1">
      <alignment horizontal="left" vertical="center" indent="1"/>
    </xf>
    <xf numFmtId="0" fontId="62" fillId="0" borderId="14" xfId="0" applyFont="1" applyBorder="1" applyAlignment="1">
      <alignment horizontal="left" vertical="center" indent="1"/>
    </xf>
    <xf numFmtId="0" fontId="62" fillId="0" borderId="17" xfId="0" applyFont="1" applyBorder="1" applyAlignment="1">
      <alignment vertical="center"/>
    </xf>
    <xf numFmtId="0" fontId="62" fillId="0" borderId="39" xfId="0" applyFont="1" applyBorder="1" applyAlignment="1">
      <alignment vertical="center"/>
    </xf>
    <xf numFmtId="0" fontId="62" fillId="0" borderId="40" xfId="0" applyFont="1" applyBorder="1" applyAlignment="1">
      <alignment vertical="center"/>
    </xf>
    <xf numFmtId="0" fontId="62" fillId="0" borderId="33" xfId="0" applyFont="1" applyBorder="1" applyAlignment="1">
      <alignment vertical="center"/>
    </xf>
    <xf numFmtId="0" fontId="62" fillId="0" borderId="0" xfId="0" applyFont="1" applyAlignment="1">
      <alignment vertical="center"/>
    </xf>
    <xf numFmtId="0" fontId="62" fillId="0" borderId="14" xfId="0" applyFont="1" applyBorder="1" applyAlignment="1">
      <alignment vertical="center"/>
    </xf>
    <xf numFmtId="0" fontId="62" fillId="0" borderId="18" xfId="0" applyFont="1" applyBorder="1" applyAlignment="1">
      <alignment vertical="center"/>
    </xf>
    <xf numFmtId="0" fontId="62" fillId="0" borderId="30" xfId="0" applyFont="1" applyBorder="1" applyAlignment="1">
      <alignment vertical="center"/>
    </xf>
    <xf numFmtId="0" fontId="62" fillId="0" borderId="9" xfId="0" applyFont="1" applyBorder="1" applyAlignment="1">
      <alignment vertical="center"/>
    </xf>
    <xf numFmtId="0" fontId="62" fillId="0" borderId="30" xfId="0" applyFont="1" applyBorder="1" applyAlignment="1">
      <alignment horizontal="left" vertical="center"/>
    </xf>
    <xf numFmtId="0" fontId="62" fillId="0" borderId="9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81" fontId="10" fillId="0" borderId="8" xfId="0" applyNumberFormat="1" applyFont="1" applyBorder="1" applyAlignment="1">
      <alignment horizontal="center" vertical="center"/>
    </xf>
    <xf numFmtId="183" fontId="10" fillId="0" borderId="8" xfId="0" applyNumberFormat="1" applyFont="1" applyBorder="1" applyAlignment="1">
      <alignment horizontal="center" vertical="center" wrapText="1"/>
    </xf>
    <xf numFmtId="183" fontId="10" fillId="0" borderId="8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shrinkToFit="1"/>
    </xf>
    <xf numFmtId="194" fontId="15" fillId="0" borderId="8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10" fillId="0" borderId="8" xfId="2186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3" fontId="10" fillId="0" borderId="8" xfId="2186" applyNumberFormat="1" applyFont="1" applyFill="1" applyBorder="1" applyAlignment="1">
      <alignment vertical="center"/>
    </xf>
    <xf numFmtId="0" fontId="15" fillId="3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182" fontId="15" fillId="3" borderId="8" xfId="0" applyNumberFormat="1" applyFont="1" applyFill="1" applyBorder="1" applyAlignment="1">
      <alignment horizontal="center" vertical="center" textRotation="255"/>
    </xf>
  </cellXfs>
  <cellStyles count="5326">
    <cellStyle name="_x0014_" xfId="2634" xr:uid="{00000000-0005-0000-0000-000000000000}"/>
    <cellStyle name="' '" xfId="2635" xr:uid="{00000000-0005-0000-0000-000001000000}"/>
    <cellStyle name="          _x000d__x000a_386grabber=vga.3gr_x000d__x000a_" xfId="2" xr:uid="{00000000-0005-0000-0000-000002000000}"/>
    <cellStyle name="Ი_x000b_" xfId="2636" xr:uid="{00000000-0005-0000-0000-000003000000}"/>
    <cellStyle name="&quot;" xfId="4" xr:uid="{00000000-0005-0000-0000-000004000000}"/>
    <cellStyle name="&quot;_china" xfId="2637" xr:uid="{00000000-0005-0000-0000-000005000000}"/>
    <cellStyle name="&quot;_산출서-작업부산물공제" xfId="5" xr:uid="{00000000-0005-0000-0000-000006000000}"/>
    <cellStyle name="&quot;큰제목&quot;" xfId="6" xr:uid="{00000000-0005-0000-0000-000007000000}"/>
    <cellStyle name="#" xfId="7" xr:uid="{00000000-0005-0000-0000-000008000000}"/>
    <cellStyle name="#,##0" xfId="8" xr:uid="{00000000-0005-0000-0000-000009000000}"/>
    <cellStyle name="#,##0.0" xfId="9" xr:uid="{00000000-0005-0000-0000-00000A000000}"/>
    <cellStyle name="#,##0.00" xfId="10" xr:uid="{00000000-0005-0000-0000-00000B000000}"/>
    <cellStyle name="#,##0.000" xfId="11" xr:uid="{00000000-0005-0000-0000-00000C000000}"/>
    <cellStyle name="#,##0_1. 전시시설물_지역홍보관" xfId="2638" xr:uid="{00000000-0005-0000-0000-00000D000000}"/>
    <cellStyle name="#_cost9702 (2)_계통도 (2)_계통도 " xfId="2642" xr:uid="{00000000-0005-0000-0000-00000E000000}"/>
    <cellStyle name="#_cost9702 (2)_공사비예산서 (2)_계통도 " xfId="2643" xr:uid="{00000000-0005-0000-0000-00000F000000}"/>
    <cellStyle name="#_cost9702 (2)_공사비예산서_계통도 " xfId="2644" xr:uid="{00000000-0005-0000-0000-000010000000}"/>
    <cellStyle name="#_cost9702 (2)_예정공정표 (2)_계통도 " xfId="2645" xr:uid="{00000000-0005-0000-0000-000011000000}"/>
    <cellStyle name="#_cost9702 (2)_주요자재_계통도 " xfId="2646" xr:uid="{00000000-0005-0000-0000-000012000000}"/>
    <cellStyle name="#_산출서-작업부산물공제" xfId="12" xr:uid="{00000000-0005-0000-0000-000013000000}"/>
    <cellStyle name="#_예정공정표_계통도 " xfId="2639" xr:uid="{00000000-0005-0000-0000-000014000000}"/>
    <cellStyle name="#_품셈 " xfId="2640" xr:uid="{00000000-0005-0000-0000-000015000000}"/>
    <cellStyle name="#_품셈_계통도 " xfId="2641" xr:uid="{00000000-0005-0000-0000-000016000000}"/>
    <cellStyle name="$" xfId="13" xr:uid="{00000000-0005-0000-0000-000017000000}"/>
    <cellStyle name="_x0004__x0004__x0019__x001b__x0004_$_x0010__x0010__x0008__x0001_" xfId="14" xr:uid="{00000000-0005-0000-0000-000018000000}"/>
    <cellStyle name="$_0008금감원통합감독검사정보시스템" xfId="2647" xr:uid="{00000000-0005-0000-0000-000019000000}"/>
    <cellStyle name="$_0009김포공항LED교체공사(광일)" xfId="2648" xr:uid="{00000000-0005-0000-0000-00001A000000}"/>
    <cellStyle name="$_0011KIST소각설비제작설치" xfId="2658" xr:uid="{00000000-0005-0000-0000-00001B000000}"/>
    <cellStyle name="$_0011긴급전화기정산(99년형광일)" xfId="2649" xr:uid="{00000000-0005-0000-0000-00001C000000}"/>
    <cellStyle name="$_0011부산종합경기장전광판" xfId="2650" xr:uid="{00000000-0005-0000-0000-00001D000000}"/>
    <cellStyle name="$_0011부산종합경기장전광판_강원지역본부(2006년_060109)" xfId="2651" xr:uid="{00000000-0005-0000-0000-00001E000000}"/>
    <cellStyle name="$_0011부산종합경기장전광판_경남지역본부-" xfId="2652" xr:uid="{00000000-0005-0000-0000-00001F000000}"/>
    <cellStyle name="$_0011부산종합경기장전광판_경북지역본부-" xfId="2653" xr:uid="{00000000-0005-0000-0000-000020000000}"/>
    <cellStyle name="$_0011부산종합경기장전광판_중부지역본부-" xfId="2654" xr:uid="{00000000-0005-0000-0000-000021000000}"/>
    <cellStyle name="$_0011부산종합경기장전광판_충청지역본부-" xfId="2655" xr:uid="{00000000-0005-0000-0000-000022000000}"/>
    <cellStyle name="$_0011부산종합경기장전광판_통행료면탈방지시스템(최종)" xfId="2656" xr:uid="{00000000-0005-0000-0000-000023000000}"/>
    <cellStyle name="$_0011부산종합경기장전광판_호남지역본부-" xfId="2657" xr:uid="{00000000-0005-0000-0000-000024000000}"/>
    <cellStyle name="$_0012문화유적지표석제작설치" xfId="2659" xr:uid="{00000000-0005-0000-0000-000025000000}"/>
    <cellStyle name="$_0102국제조명신공항분수조명" xfId="2660" xr:uid="{00000000-0005-0000-0000-000026000000}"/>
    <cellStyle name="$_0102국제조명신공항분수조명_강원지역본부(2006년_060109)" xfId="2661" xr:uid="{00000000-0005-0000-0000-000027000000}"/>
    <cellStyle name="$_0102국제조명신공항분수조명_경남지역본부-" xfId="2662" xr:uid="{00000000-0005-0000-0000-000028000000}"/>
    <cellStyle name="$_0102국제조명신공항분수조명_경북지역본부-" xfId="2663" xr:uid="{00000000-0005-0000-0000-000029000000}"/>
    <cellStyle name="$_0102국제조명신공항분수조명_중부지역본부-" xfId="2664" xr:uid="{00000000-0005-0000-0000-00002A000000}"/>
    <cellStyle name="$_0102국제조명신공항분수조명_충청지역본부-" xfId="2665" xr:uid="{00000000-0005-0000-0000-00002B000000}"/>
    <cellStyle name="$_0102국제조명신공항분수조명_통행료면탈방지시스템(최종)" xfId="2666" xr:uid="{00000000-0005-0000-0000-00002C000000}"/>
    <cellStyle name="$_0102국제조명신공항분수조명_호남지역본부-" xfId="2667" xr:uid="{00000000-0005-0000-0000-00002D000000}"/>
    <cellStyle name="$_0103회전식현수막게시대제작설치" xfId="2668" xr:uid="{00000000-0005-0000-0000-00002E000000}"/>
    <cellStyle name="$_0104포항시침출수처리시스템" xfId="2669" xr:uid="{00000000-0005-0000-0000-00002F000000}"/>
    <cellStyle name="$_0105담배자판기개조원가" xfId="2670" xr:uid="{00000000-0005-0000-0000-000030000000}"/>
    <cellStyle name="$_0105담배자판기개조원가_강원지역본부(2006년_060109)" xfId="2671" xr:uid="{00000000-0005-0000-0000-000031000000}"/>
    <cellStyle name="$_0105담배자판기개조원가_경남지역본부-" xfId="2672" xr:uid="{00000000-0005-0000-0000-000032000000}"/>
    <cellStyle name="$_0105담배자판기개조원가_경북지역본부-" xfId="2673" xr:uid="{00000000-0005-0000-0000-000033000000}"/>
    <cellStyle name="$_0105담배자판기개조원가_중부지역본부-" xfId="2674" xr:uid="{00000000-0005-0000-0000-000034000000}"/>
    <cellStyle name="$_0105담배자판기개조원가_충청지역본부-" xfId="2675" xr:uid="{00000000-0005-0000-0000-000035000000}"/>
    <cellStyle name="$_0105담배자판기개조원가_통행료면탈방지시스템(최종)" xfId="2676" xr:uid="{00000000-0005-0000-0000-000036000000}"/>
    <cellStyle name="$_0105담배자판기개조원가_호남지역본부-" xfId="2677" xr:uid="{00000000-0005-0000-0000-000037000000}"/>
    <cellStyle name="$_0106LG인버터냉난방기제작-1" xfId="2678" xr:uid="{00000000-0005-0000-0000-000038000000}"/>
    <cellStyle name="$_0106LG인버터냉난방기제작-1_강원지역본부(2006년_060109)" xfId="2679" xr:uid="{00000000-0005-0000-0000-000039000000}"/>
    <cellStyle name="$_0106LG인버터냉난방기제작-1_경남지역본부-" xfId="2680" xr:uid="{00000000-0005-0000-0000-00003A000000}"/>
    <cellStyle name="$_0106LG인버터냉난방기제작-1_경북지역본부-" xfId="2681" xr:uid="{00000000-0005-0000-0000-00003B000000}"/>
    <cellStyle name="$_0106LG인버터냉난방기제작-1_중부지역본부-" xfId="2682" xr:uid="{00000000-0005-0000-0000-00003C000000}"/>
    <cellStyle name="$_0106LG인버터냉난방기제작-1_충청지역본부-" xfId="2683" xr:uid="{00000000-0005-0000-0000-00003D000000}"/>
    <cellStyle name="$_0106LG인버터냉난방기제작-1_통행료면탈방지시스템(최종)" xfId="2684" xr:uid="{00000000-0005-0000-0000-00003E000000}"/>
    <cellStyle name="$_0106LG인버터냉난방기제작-1_호남지역본부-" xfId="2685" xr:uid="{00000000-0005-0000-0000-00003F000000}"/>
    <cellStyle name="$_0107광전송장비구매설치" xfId="2686" xr:uid="{00000000-0005-0000-0000-000040000000}"/>
    <cellStyle name="$_0107도공IBS설비SW부문(참조)" xfId="2687" xr:uid="{00000000-0005-0000-0000-000041000000}"/>
    <cellStyle name="$_0107문화재복원용목재-8월6일" xfId="2688" xr:uid="{00000000-0005-0000-0000-000042000000}"/>
    <cellStyle name="$_0107문화재복원용목재-8월6일_강원지역본부(2006년_060109)" xfId="2689" xr:uid="{00000000-0005-0000-0000-000043000000}"/>
    <cellStyle name="$_0107문화재복원용목재-8월6일_경남지역본부-" xfId="2690" xr:uid="{00000000-0005-0000-0000-000044000000}"/>
    <cellStyle name="$_0107문화재복원용목재-8월6일_경북지역본부-" xfId="2691" xr:uid="{00000000-0005-0000-0000-000045000000}"/>
    <cellStyle name="$_0107문화재복원용목재-8월6일_중부지역본부-" xfId="2692" xr:uid="{00000000-0005-0000-0000-000046000000}"/>
    <cellStyle name="$_0107문화재복원용목재-8월6일_충청지역본부-" xfId="2693" xr:uid="{00000000-0005-0000-0000-000047000000}"/>
    <cellStyle name="$_0107문화재복원용목재-8월6일_통행료면탈방지시스템(최종)" xfId="2694" xr:uid="{00000000-0005-0000-0000-000048000000}"/>
    <cellStyle name="$_0107문화재복원용목재-8월6일_호남지역본부-" xfId="2695" xr:uid="{00000000-0005-0000-0000-000049000000}"/>
    <cellStyle name="$_0107포천영중수배전반(제조,설치)" xfId="2696" xr:uid="{00000000-0005-0000-0000-00004A000000}"/>
    <cellStyle name="$_0108농기반미곡건조기제작설치" xfId="2697" xr:uid="{00000000-0005-0000-0000-00004B000000}"/>
    <cellStyle name="$_0108담배인삼공사영업춘추복" xfId="2698" xr:uid="{00000000-0005-0000-0000-00004C000000}"/>
    <cellStyle name="$_0108한국전기교통-LED교통신호등((원본))" xfId="2699" xr:uid="{00000000-0005-0000-0000-00004D000000}"/>
    <cellStyle name="$_0108한국전기교통-LED교통신호등((원본))_강원지역본부(2006년_060109)" xfId="2700" xr:uid="{00000000-0005-0000-0000-00004E000000}"/>
    <cellStyle name="$_0108한국전기교통-LED교통신호등((원본))_경남지역본부-" xfId="2701" xr:uid="{00000000-0005-0000-0000-00004F000000}"/>
    <cellStyle name="$_0108한국전기교통-LED교통신호등((원본))_경북지역본부-" xfId="2702" xr:uid="{00000000-0005-0000-0000-000050000000}"/>
    <cellStyle name="$_0108한국전기교통-LED교통신호등((원본))_중부지역본부-" xfId="2703" xr:uid="{00000000-0005-0000-0000-000051000000}"/>
    <cellStyle name="$_0108한국전기교통-LED교통신호등((원본))_충청지역본부-" xfId="2704" xr:uid="{00000000-0005-0000-0000-000052000000}"/>
    <cellStyle name="$_0108한국전기교통-LED교통신호등((원본))_통행료면탈방지시스템(최종)" xfId="2705" xr:uid="{00000000-0005-0000-0000-000053000000}"/>
    <cellStyle name="$_0108한국전기교통-LED교통신호등((원본))_호남지역본부-" xfId="2706" xr:uid="{00000000-0005-0000-0000-000054000000}"/>
    <cellStyle name="$_0111해양수산부등명기제작" xfId="2707" xr:uid="{00000000-0005-0000-0000-000055000000}"/>
    <cellStyle name="$_0111핸디소프트-전자표준문서시스템" xfId="2708" xr:uid="{00000000-0005-0000-0000-000056000000}"/>
    <cellStyle name="$_0112금감원사무자동화시스템" xfId="2709" xr:uid="{00000000-0005-0000-0000-000057000000}"/>
    <cellStyle name="$_0112수도권매립지SW원가" xfId="2710" xr:uid="{00000000-0005-0000-0000-000058000000}"/>
    <cellStyle name="$_0112중고원-HRD종합정보망구축(完)" xfId="2711" xr:uid="{00000000-0005-0000-0000-000059000000}"/>
    <cellStyle name="$_0201종합예술회관의자제작설치" xfId="2712" xr:uid="{00000000-0005-0000-0000-00005A000000}"/>
    <cellStyle name="$_0201종합예술회관의자제작설치-1" xfId="2713" xr:uid="{00000000-0005-0000-0000-00005B000000}"/>
    <cellStyle name="$_0202마사회근무복" xfId="2714" xr:uid="{00000000-0005-0000-0000-00005C000000}"/>
    <cellStyle name="$_0202마사회근무복_강원지역본부(2006년_060109)" xfId="2715" xr:uid="{00000000-0005-0000-0000-00005D000000}"/>
    <cellStyle name="$_0202마사회근무복_경남지역본부-" xfId="2716" xr:uid="{00000000-0005-0000-0000-00005E000000}"/>
    <cellStyle name="$_0202마사회근무복_경북지역본부-" xfId="2717" xr:uid="{00000000-0005-0000-0000-00005F000000}"/>
    <cellStyle name="$_0202마사회근무복_중부지역본부-" xfId="2718" xr:uid="{00000000-0005-0000-0000-000060000000}"/>
    <cellStyle name="$_0202마사회근무복_충청지역본부-" xfId="2719" xr:uid="{00000000-0005-0000-0000-000061000000}"/>
    <cellStyle name="$_0202마사회근무복_통행료면탈방지시스템(최종)" xfId="2720" xr:uid="{00000000-0005-0000-0000-000062000000}"/>
    <cellStyle name="$_0202마사회근무복_호남지역본부-" xfId="2721" xr:uid="{00000000-0005-0000-0000-000063000000}"/>
    <cellStyle name="$_0202부경교재-승강칠판" xfId="2722" xr:uid="{00000000-0005-0000-0000-000064000000}"/>
    <cellStyle name="$_0202부경교재-승강칠판_강원지역본부(2006년_060109)" xfId="2723" xr:uid="{00000000-0005-0000-0000-000065000000}"/>
    <cellStyle name="$_0202부경교재-승강칠판_경남지역본부-" xfId="2724" xr:uid="{00000000-0005-0000-0000-000066000000}"/>
    <cellStyle name="$_0202부경교재-승강칠판_경북지역본부-" xfId="2725" xr:uid="{00000000-0005-0000-0000-000067000000}"/>
    <cellStyle name="$_0202부경교재-승강칠판_중부지역본부-" xfId="2726" xr:uid="{00000000-0005-0000-0000-000068000000}"/>
    <cellStyle name="$_0202부경교재-승강칠판_충청지역본부-" xfId="2727" xr:uid="{00000000-0005-0000-0000-000069000000}"/>
    <cellStyle name="$_0202부경교재-승강칠판_통행료면탈방지시스템(최종)" xfId="2728" xr:uid="{00000000-0005-0000-0000-00006A000000}"/>
    <cellStyle name="$_0202부경교재-승강칠판_호남지역본부-" xfId="2729" xr:uid="{00000000-0005-0000-0000-00006B000000}"/>
    <cellStyle name="$_0204한국석묘납골함-1규격" xfId="2730" xr:uid="{00000000-0005-0000-0000-00006C000000}"/>
    <cellStyle name="$_0205TTMS-긴급전화기&amp;전체총괄" xfId="2731" xr:uid="{00000000-0005-0000-0000-00006D000000}"/>
    <cellStyle name="$_0206금감원금융정보교환망재구축" xfId="2732" xr:uid="{00000000-0005-0000-0000-00006E000000}"/>
    <cellStyle name="$_0206정통부수납장표기기제작설치" xfId="2733" xr:uid="{00000000-0005-0000-0000-00006F000000}"/>
    <cellStyle name="$_0207담배인삼공사-담요" xfId="2734" xr:uid="{00000000-0005-0000-0000-000070000000}"/>
    <cellStyle name="$_0208레비텍-다층여과기설계변경" xfId="2735" xr:uid="{00000000-0005-0000-0000-000071000000}"/>
    <cellStyle name="$_0209이산화염소발생기-설치(50K)" xfId="2736" xr:uid="{00000000-0005-0000-0000-000072000000}"/>
    <cellStyle name="$_0210현대정보기술-TD이중계" xfId="2737" xr:uid="{00000000-0005-0000-0000-000073000000}"/>
    <cellStyle name="$_0211조달청-#1대북지원사업정산(1월7일)" xfId="2738" xr:uid="{00000000-0005-0000-0000-000074000000}"/>
    <cellStyle name="$_0212금감원-법규정보시스템(完)" xfId="2739" xr:uid="{00000000-0005-0000-0000-000075000000}"/>
    <cellStyle name="$_0301교통방송-CCTV유지보수" xfId="2740" xr:uid="{00000000-0005-0000-0000-000076000000}"/>
    <cellStyle name="$_0302인천경찰청-무인단속기위탁관리" xfId="2741" xr:uid="{00000000-0005-0000-0000-000077000000}"/>
    <cellStyle name="$_0302조달청-대북지원2차(안성연)" xfId="2742" xr:uid="{00000000-0005-0000-0000-000078000000}"/>
    <cellStyle name="$_0302조달청-대북지원2차(최수현)" xfId="2743" xr:uid="{00000000-0005-0000-0000-000079000000}"/>
    <cellStyle name="$_0302표준문서-쌍용정보통신(신)" xfId="2744" xr:uid="{00000000-0005-0000-0000-00007A000000}"/>
    <cellStyle name="$_0304소프트파워-정부표준전자문서시스템" xfId="2745" xr:uid="{00000000-0005-0000-0000-00007B000000}"/>
    <cellStyle name="$_0304소프트파워-정부표준전자문서시스템(完)" xfId="2746" xr:uid="{00000000-0005-0000-0000-00007C000000}"/>
    <cellStyle name="$_0304철도청-주변환장치-1" xfId="2747" xr:uid="{00000000-0005-0000-0000-00007D000000}"/>
    <cellStyle name="$_0305금감원-금융통계정보시스템구축(完)" xfId="2748" xr:uid="{00000000-0005-0000-0000-00007E000000}"/>
    <cellStyle name="$_0305제낭조합-면범포지" xfId="2749" xr:uid="{00000000-0005-0000-0000-00007F000000}"/>
    <cellStyle name="$_0306제낭공업협동조합-면범포지원단(경비까지)" xfId="2750" xr:uid="{00000000-0005-0000-0000-000080000000}"/>
    <cellStyle name="$_0307경찰청-무인교통단속표준SW개발용역(完)" xfId="2751" xr:uid="{00000000-0005-0000-0000-000081000000}"/>
    <cellStyle name="$_0308조달청-#8대북지원사업정산" xfId="2752" xr:uid="{00000000-0005-0000-0000-000082000000}"/>
    <cellStyle name="$_0309두합크린텍-설치원가" xfId="2753" xr:uid="{00000000-0005-0000-0000-000083000000}"/>
    <cellStyle name="$_0309조달청-#9대북지원사업정산" xfId="2754" xr:uid="{00000000-0005-0000-0000-000084000000}"/>
    <cellStyle name="$_0310여주상수도-탈수기(유천ENG)" xfId="2755" xr:uid="{00000000-0005-0000-0000-000085000000}"/>
    <cellStyle name="$_0311대기해양작업시간" xfId="2756" xr:uid="{00000000-0005-0000-0000-000086000000}"/>
    <cellStyle name="$_0311대기해양중형등명기" xfId="2757" xr:uid="{00000000-0005-0000-0000-000087000000}"/>
    <cellStyle name="$_0312국민체육진흥공단-전기부문" xfId="2758" xr:uid="{00000000-0005-0000-0000-000088000000}"/>
    <cellStyle name="$_0312대기해양-중형등명기제작설치" xfId="2759" xr:uid="{00000000-0005-0000-0000-000089000000}"/>
    <cellStyle name="$_0312라이준-칼라아스콘4규격" xfId="2760" xr:uid="{00000000-0005-0000-0000-00008A000000}"/>
    <cellStyle name="$_0401집진기프로그램SW개발비산정" xfId="2761" xr:uid="{00000000-0005-0000-0000-00008B000000}"/>
    <cellStyle name="$_13. 관리동" xfId="2762" xr:uid="{00000000-0005-0000-0000-00008C000000}"/>
    <cellStyle name="$_2001-06조달청신성-한냉지형" xfId="2763" xr:uid="{00000000-0005-0000-0000-00008D000000}"/>
    <cellStyle name="$_2002-03경찰대학-졸업식" xfId="2764" xr:uid="{00000000-0005-0000-0000-00008E000000}"/>
    <cellStyle name="$_2002-03경찰청-경찰표지장" xfId="2765" xr:uid="{00000000-0005-0000-0000-00008F000000}"/>
    <cellStyle name="$_2002-03반디-가로등(열주형)" xfId="2766" xr:uid="{00000000-0005-0000-0000-000090000000}"/>
    <cellStyle name="$_2002-03신화전자-감지기" xfId="2767" xr:uid="{00000000-0005-0000-0000-000091000000}"/>
    <cellStyle name="$_2002-04강원랜드-슬러트머신" xfId="2768" xr:uid="{00000000-0005-0000-0000-000092000000}"/>
    <cellStyle name="$_2002-04메가컴-외주무대" xfId="2769" xr:uid="{00000000-0005-0000-0000-000093000000}"/>
    <cellStyle name="$_2002-04엘지애드-무대" xfId="2770" xr:uid="{00000000-0005-0000-0000-000094000000}"/>
    <cellStyle name="$_2002-05강원랜드-슬러트머신(넥스터)" xfId="2771" xr:uid="{00000000-0005-0000-0000-000095000000}"/>
    <cellStyle name="$_2002-05경기경찰청-냉온수기공사" xfId="2772" xr:uid="{00000000-0005-0000-0000-000096000000}"/>
    <cellStyle name="$_2002-05대통령비서실-카페트" xfId="2773" xr:uid="{00000000-0005-0000-0000-000097000000}"/>
    <cellStyle name="$_2002결과표" xfId="2774" xr:uid="{00000000-0005-0000-0000-000098000000}"/>
    <cellStyle name="$_2002결과표_강원지역본부(2006년_060109)" xfId="2775" xr:uid="{00000000-0005-0000-0000-000099000000}"/>
    <cellStyle name="$_2002결과표_경남지역본부-" xfId="2776" xr:uid="{00000000-0005-0000-0000-00009A000000}"/>
    <cellStyle name="$_2002결과표_경북지역본부-" xfId="2777" xr:uid="{00000000-0005-0000-0000-00009B000000}"/>
    <cellStyle name="$_2002결과표_중부지역본부-" xfId="2778" xr:uid="{00000000-0005-0000-0000-00009C000000}"/>
    <cellStyle name="$_2002결과표_충청지역본부-" xfId="2779" xr:uid="{00000000-0005-0000-0000-00009D000000}"/>
    <cellStyle name="$_2002결과표_통행료면탈방지시스템(최종)" xfId="2780" xr:uid="{00000000-0005-0000-0000-00009E000000}"/>
    <cellStyle name="$_2002결과표_호남지역본부-" xfId="2781" xr:uid="{00000000-0005-0000-0000-00009F000000}"/>
    <cellStyle name="$_2002결과표1" xfId="2782" xr:uid="{00000000-0005-0000-0000-0000A0000000}"/>
    <cellStyle name="$_2003-01정일사-표창5종" xfId="2783" xr:uid="{00000000-0005-0000-0000-0000A1000000}"/>
    <cellStyle name="$_db진흥" xfId="17" xr:uid="{00000000-0005-0000-0000-0000A2000000}"/>
    <cellStyle name="$_Pilot플랜트-계변경" xfId="2855" xr:uid="{00000000-0005-0000-0000-0000A3000000}"/>
    <cellStyle name="$_Pilot플랜트이전설치-변경최종" xfId="2856" xr:uid="{00000000-0005-0000-0000-0000A4000000}"/>
    <cellStyle name="$_SE40" xfId="18" xr:uid="{00000000-0005-0000-0000-0000A5000000}"/>
    <cellStyle name="$_SW(케이비)" xfId="2857" xr:uid="{00000000-0005-0000-0000-0000A6000000}"/>
    <cellStyle name="$_간지,목차,페이지,표지" xfId="2784" xr:uid="{00000000-0005-0000-0000-0000A7000000}"/>
    <cellStyle name="$_강원지역본부(2006년_060109)" xfId="2785" xr:uid="{00000000-0005-0000-0000-0000A8000000}"/>
    <cellStyle name="$_강진(내역)" xfId="2786" xr:uid="{00000000-0005-0000-0000-0000A9000000}"/>
    <cellStyle name="$_강진(내역)-적용" xfId="2787" xr:uid="{00000000-0005-0000-0000-0000AA000000}"/>
    <cellStyle name="$_강진체육공원" xfId="2788" xr:uid="{00000000-0005-0000-0000-0000AB000000}"/>
    <cellStyle name="$_견적2" xfId="15" xr:uid="{00000000-0005-0000-0000-0000AC000000}"/>
    <cellStyle name="$_경남지역본부-" xfId="2789" xr:uid="{00000000-0005-0000-0000-0000AD000000}"/>
    <cellStyle name="$_경북지역본부-" xfId="2790" xr:uid="{00000000-0005-0000-0000-0000AE000000}"/>
    <cellStyle name="$_경찰청-근무,기동복" xfId="2791" xr:uid="{00000000-0005-0000-0000-0000AF000000}"/>
    <cellStyle name="$_공사비2001-06" xfId="2792" xr:uid="{00000000-0005-0000-0000-0000B0000000}"/>
    <cellStyle name="$_공사일반관리비양식" xfId="2793" xr:uid="{00000000-0005-0000-0000-0000B1000000}"/>
    <cellStyle name="$_관리동sw" xfId="2794" xr:uid="{00000000-0005-0000-0000-0000B2000000}"/>
    <cellStyle name="$_기아" xfId="16" xr:uid="{00000000-0005-0000-0000-0000B3000000}"/>
    <cellStyle name="$_기초공사" xfId="2795" xr:uid="{00000000-0005-0000-0000-0000B4000000}"/>
    <cellStyle name="$_네인텍정보기술-회로카드(수현)" xfId="2796" xr:uid="{00000000-0005-0000-0000-0000B5000000}"/>
    <cellStyle name="$_대기해양노무비" xfId="2797" xr:uid="{00000000-0005-0000-0000-0000B6000000}"/>
    <cellStyle name="$_대북자재8월분" xfId="2798" xr:uid="{00000000-0005-0000-0000-0000B7000000}"/>
    <cellStyle name="$_대북자재8월분-1" xfId="2799" xr:uid="{00000000-0005-0000-0000-0000B8000000}"/>
    <cellStyle name="$_동산용사촌수현(원본)" xfId="2800" xr:uid="{00000000-0005-0000-0000-0000B9000000}"/>
    <cellStyle name="$_목차" xfId="2801" xr:uid="{00000000-0005-0000-0000-0000BA000000}"/>
    <cellStyle name="$_백제군사전시1" xfId="2802" xr:uid="{00000000-0005-0000-0000-0000BB000000}"/>
    <cellStyle name="$_변경내역1(낙찰적용)" xfId="2803" xr:uid="{00000000-0005-0000-0000-0000BC000000}"/>
    <cellStyle name="$_수초제거기(대양기계)" xfId="2804" xr:uid="{00000000-0005-0000-0000-0000BD000000}"/>
    <cellStyle name="$_수초제거기(대양기계)_강원지역본부(2006년_060109)" xfId="2805" xr:uid="{00000000-0005-0000-0000-0000BE000000}"/>
    <cellStyle name="$_수초제거기(대양기계)_경남지역본부-" xfId="2806" xr:uid="{00000000-0005-0000-0000-0000BF000000}"/>
    <cellStyle name="$_수초제거기(대양기계)_경북지역본부-" xfId="2807" xr:uid="{00000000-0005-0000-0000-0000C0000000}"/>
    <cellStyle name="$_수초제거기(대양기계)_중부지역본부-" xfId="2808" xr:uid="{00000000-0005-0000-0000-0000C1000000}"/>
    <cellStyle name="$_수초제거기(대양기계)_충청지역본부-" xfId="2809" xr:uid="{00000000-0005-0000-0000-0000C2000000}"/>
    <cellStyle name="$_수초제거기(대양기계)_통행료면탈방지시스템(최종)" xfId="2810" xr:uid="{00000000-0005-0000-0000-0000C3000000}"/>
    <cellStyle name="$_수초제거기(대양기계)_호남지역본부-" xfId="2811" xr:uid="{00000000-0005-0000-0000-0000C4000000}"/>
    <cellStyle name="$_시설용역" xfId="2812" xr:uid="{00000000-0005-0000-0000-0000C5000000}"/>
    <cellStyle name="$_암전정밀실체현미경(수현)" xfId="2813" xr:uid="{00000000-0005-0000-0000-0000C6000000}"/>
    <cellStyle name="$_오리엔탈" xfId="2814" xr:uid="{00000000-0005-0000-0000-0000C7000000}"/>
    <cellStyle name="$_원본 - 한국전기교통-개선형신호등 4종" xfId="2815" xr:uid="{00000000-0005-0000-0000-0000C8000000}"/>
    <cellStyle name="$_원본 - 한국전기교통-개선형신호등 4종_강원지역본부(2006년_060109)" xfId="2816" xr:uid="{00000000-0005-0000-0000-0000C9000000}"/>
    <cellStyle name="$_원본 - 한국전기교통-개선형신호등 4종_경남지역본부-" xfId="2817" xr:uid="{00000000-0005-0000-0000-0000CA000000}"/>
    <cellStyle name="$_원본 - 한국전기교통-개선형신호등 4종_경북지역본부-" xfId="2818" xr:uid="{00000000-0005-0000-0000-0000CB000000}"/>
    <cellStyle name="$_원본 - 한국전기교통-개선형신호등 4종_중부지역본부-" xfId="2819" xr:uid="{00000000-0005-0000-0000-0000CC000000}"/>
    <cellStyle name="$_원본 - 한국전기교통-개선형신호등 4종_충청지역본부-" xfId="2820" xr:uid="{00000000-0005-0000-0000-0000CD000000}"/>
    <cellStyle name="$_원본 - 한국전기교통-개선형신호등 4종_통행료면탈방지시스템(최종)" xfId="2821" xr:uid="{00000000-0005-0000-0000-0000CE000000}"/>
    <cellStyle name="$_원본 - 한국전기교통-개선형신호등 4종_호남지역본부-" xfId="2822" xr:uid="{00000000-0005-0000-0000-0000CF000000}"/>
    <cellStyle name="$_정산변경" xfId="2823" xr:uid="{00000000-0005-0000-0000-0000D0000000}"/>
    <cellStyle name="$_제경비율모음" xfId="2824" xr:uid="{00000000-0005-0000-0000-0000D1000000}"/>
    <cellStyle name="$_제조원가" xfId="2825" xr:uid="{00000000-0005-0000-0000-0000D2000000}"/>
    <cellStyle name="$_조달청-B판사천강교제작(최종본)" xfId="2834" xr:uid="{00000000-0005-0000-0000-0000D3000000}"/>
    <cellStyle name="$_조달청-대북지원3차(최수현)" xfId="2826" xr:uid="{00000000-0005-0000-0000-0000D4000000}"/>
    <cellStyle name="$_조달청-대북지원4차(최수현)" xfId="2827" xr:uid="{00000000-0005-0000-0000-0000D5000000}"/>
    <cellStyle name="$_조달청-대북지원5차(최수현)" xfId="2828" xr:uid="{00000000-0005-0000-0000-0000D6000000}"/>
    <cellStyle name="$_조달청-대북지원6차(번호)" xfId="2829" xr:uid="{00000000-0005-0000-0000-0000D7000000}"/>
    <cellStyle name="$_조달청-대북지원6차(최수현)" xfId="2830" xr:uid="{00000000-0005-0000-0000-0000D8000000}"/>
    <cellStyle name="$_조달청-대북지원7차(최수현)" xfId="2831" xr:uid="{00000000-0005-0000-0000-0000D9000000}"/>
    <cellStyle name="$_조달청-대북지원8차(최수현)" xfId="2832" xr:uid="{00000000-0005-0000-0000-0000DA000000}"/>
    <cellStyle name="$_조달청-대북지원9차(최수현)" xfId="2833" xr:uid="{00000000-0005-0000-0000-0000DB000000}"/>
    <cellStyle name="$_중부지역본부-" xfId="2835" xr:uid="{00000000-0005-0000-0000-0000DC000000}"/>
    <cellStyle name="$_중앙선관위(투표,개표)" xfId="2836" xr:uid="{00000000-0005-0000-0000-0000DD000000}"/>
    <cellStyle name="$_중앙선관위(투표,개표)-사본" xfId="2837" xr:uid="{00000000-0005-0000-0000-0000DE000000}"/>
    <cellStyle name="$_철공가공조립" xfId="2838" xr:uid="{00000000-0005-0000-0000-0000DF000000}"/>
    <cellStyle name="$_최종-한국전기교통-개선형신호등 4종(공수조정)" xfId="2839" xr:uid="{00000000-0005-0000-0000-0000E0000000}"/>
    <cellStyle name="$_최종-한국전기교통-개선형신호등 4종(공수조정)_강원지역본부(2006년_060109)" xfId="2840" xr:uid="{00000000-0005-0000-0000-0000E1000000}"/>
    <cellStyle name="$_최종-한국전기교통-개선형신호등 4종(공수조정)_경남지역본부-" xfId="2841" xr:uid="{00000000-0005-0000-0000-0000E2000000}"/>
    <cellStyle name="$_최종-한국전기교통-개선형신호등 4종(공수조정)_경북지역본부-" xfId="2842" xr:uid="{00000000-0005-0000-0000-0000E3000000}"/>
    <cellStyle name="$_최종-한국전기교통-개선형신호등 4종(공수조정)_중부지역본부-" xfId="2843" xr:uid="{00000000-0005-0000-0000-0000E4000000}"/>
    <cellStyle name="$_최종-한국전기교통-개선형신호등 4종(공수조정)_충청지역본부-" xfId="2844" xr:uid="{00000000-0005-0000-0000-0000E5000000}"/>
    <cellStyle name="$_최종-한국전기교통-개선형신호등 4종(공수조정)_통행료면탈방지시스템(최종)" xfId="2845" xr:uid="{00000000-0005-0000-0000-0000E6000000}"/>
    <cellStyle name="$_최종-한국전기교통-개선형신호등 4종(공수조정)_호남지역본부-" xfId="2846" xr:uid="{00000000-0005-0000-0000-0000E7000000}"/>
    <cellStyle name="$_충청지역본부-" xfId="2847" xr:uid="{00000000-0005-0000-0000-0000E8000000}"/>
    <cellStyle name="$_코솔라-제조원가" xfId="2848" xr:uid="{00000000-0005-0000-0000-0000E9000000}"/>
    <cellStyle name="$_토지공사-간접비" xfId="2849" xr:uid="{00000000-0005-0000-0000-0000EA000000}"/>
    <cellStyle name="$_통행료면탈방지시스템(최종)" xfId="2850" xr:uid="{00000000-0005-0000-0000-0000EB000000}"/>
    <cellStyle name="$_한국도로공사" xfId="2851" xr:uid="{00000000-0005-0000-0000-0000EC000000}"/>
    <cellStyle name="$_한전내역서-최종" xfId="2852" xr:uid="{00000000-0005-0000-0000-0000ED000000}"/>
    <cellStyle name="$_합판거푸집" xfId="2853" xr:uid="{00000000-0005-0000-0000-0000EE000000}"/>
    <cellStyle name="$_호남지역본부-" xfId="2854" xr:uid="{00000000-0005-0000-0000-0000EF000000}"/>
    <cellStyle name="(##.00)" xfId="2858" xr:uid="{00000000-0005-0000-0000-0000F0000000}"/>
    <cellStyle name="(△콤마)" xfId="19" xr:uid="{00000000-0005-0000-0000-0000F1000000}"/>
    <cellStyle name="(1)" xfId="2859" xr:uid="{00000000-0005-0000-0000-0000F2000000}"/>
    <cellStyle name="(백분율)" xfId="20" xr:uid="{00000000-0005-0000-0000-0000F3000000}"/>
    <cellStyle name="(콤마)" xfId="21" xr:uid="{00000000-0005-0000-0000-0000F4000000}"/>
    <cellStyle name="(표준)" xfId="2860" xr:uid="{00000000-0005-0000-0000-0000F5000000}"/>
    <cellStyle name=".0000001" xfId="22" xr:uid="{00000000-0005-0000-0000-0000F6000000}"/>
    <cellStyle name=";;;" xfId="23" xr:uid="{00000000-0005-0000-0000-0000F7000000}"/>
    <cellStyle name="?? [0.00]_Region Orders (2)" xfId="2861" xr:uid="{00000000-0005-0000-0000-0000F8000000}"/>
    <cellStyle name="?? [0]_????? " xfId="2862" xr:uid="{00000000-0005-0000-0000-0000F9000000}"/>
    <cellStyle name="??_x000c_둄_x001b__x000d_|?_x0001_?_x0003__x0014__x0007__x0001__x0001_" xfId="2863" xr:uid="{00000000-0005-0000-0000-0000FA000000}"/>
    <cellStyle name="??&amp;O?&amp;H?_x0008__x000f__x0007_?_x0007__x0001__x0001_" xfId="25" xr:uid="{00000000-0005-0000-0000-0000FB000000}"/>
    <cellStyle name="??&amp;O?&amp;H?_x0008_??_x0007__x0001__x0001_" xfId="26" xr:uid="{00000000-0005-0000-0000-0000FC000000}"/>
    <cellStyle name="??&amp;O?&amp;H?_x0008__x000f__x0007_?_x0007__x0001__x0001__유아교육진흥원 신축전기공사" xfId="2864" xr:uid="{00000000-0005-0000-0000-0000FD000000}"/>
    <cellStyle name="??&amp;쏗?뷐9_x0008__x0011__x0007_?_x0007__x0001__x0001_" xfId="24" xr:uid="{00000000-0005-0000-0000-0000FE000000}"/>
    <cellStyle name="???­ [0]_¸ð??¸·" xfId="2865" xr:uid="{00000000-0005-0000-0000-0000FF000000}"/>
    <cellStyle name="???­_¸ð??¸·" xfId="2866" xr:uid="{00000000-0005-0000-0000-000000010000}"/>
    <cellStyle name="???Ø_??¾÷º?º° ??°? " xfId="2867" xr:uid="{00000000-0005-0000-0000-000001010000}"/>
    <cellStyle name="??_????? " xfId="2868" xr:uid="{00000000-0005-0000-0000-000002010000}"/>
    <cellStyle name="?Þ¸¶ [0]_¸ð??¸·" xfId="2872" xr:uid="{00000000-0005-0000-0000-000003010000}"/>
    <cellStyle name="?Þ¸¶_¸ð??¸·" xfId="2873" xr:uid="{00000000-0005-0000-0000-000004010000}"/>
    <cellStyle name="?W?_laroux" xfId="27" xr:uid="{00000000-0005-0000-0000-000005010000}"/>
    <cellStyle name="?曹%∨?뷐9_x0008_?c_x0006__x0007__x0001__x0001_" xfId="2869" xr:uid="{00000000-0005-0000-0000-000006010000}"/>
    <cellStyle name="?曹%U?&amp;H?_x0008_?s_x000a__x0007__x0001__x0001_" xfId="2870" xr:uid="{00000000-0005-0000-0000-000007010000}"/>
    <cellStyle name="?핺_CASH FLOW " xfId="2871" xr:uid="{00000000-0005-0000-0000-000008010000}"/>
    <cellStyle name="@_laroux" xfId="2874" xr:uid="{00000000-0005-0000-0000-000009010000}"/>
    <cellStyle name="@_laroux_제트베인" xfId="2875" xr:uid="{00000000-0005-0000-0000-00000A010000}"/>
    <cellStyle name="@_laroux_제트베인_1" xfId="2876" xr:uid="{00000000-0005-0000-0000-00000B010000}"/>
    <cellStyle name="_(01-14)광양항인건비" xfId="28" xr:uid="{00000000-0005-0000-0000-00000C010000}"/>
    <cellStyle name="_(20041229)" xfId="2877" xr:uid="{00000000-0005-0000-0000-00000D010000}"/>
    <cellStyle name="_(수정)한강물환경생태 산출서" xfId="2878" xr:uid="{00000000-0005-0000-0000-00000E010000}"/>
    <cellStyle name="_(최종)노인전문 요양시설원가계산(건축설비)" xfId="2879" xr:uid="{00000000-0005-0000-0000-00000F010000}"/>
    <cellStyle name="_(표준품셈원가계산)-예제" xfId="29" xr:uid="{00000000-0005-0000-0000-000010010000}"/>
    <cellStyle name="_▷기본자료기록" xfId="2880" xr:uid="{00000000-0005-0000-0000-000011010000}"/>
    <cellStyle name="_▷기본자료들" xfId="2881" xr:uid="{00000000-0005-0000-0000-000012010000}"/>
    <cellStyle name="_0.VMS내역서-A,B사" xfId="2882" xr:uid="{00000000-0005-0000-0000-000013010000}"/>
    <cellStyle name="_00 단가산출서 9호선,공항,공용" xfId="30" xr:uid="{00000000-0005-0000-0000-000014010000}"/>
    <cellStyle name="_0001 (2)" xfId="2883" xr:uid="{00000000-0005-0000-0000-000015010000}"/>
    <cellStyle name="_0002 (2)" xfId="2884" xr:uid="{00000000-0005-0000-0000-000016010000}"/>
    <cellStyle name="_0006 (2)" xfId="2885" xr:uid="{00000000-0005-0000-0000-000017010000}"/>
    <cellStyle name="_0006 (3)" xfId="2886" xr:uid="{00000000-0005-0000-0000-000018010000}"/>
    <cellStyle name="_01" xfId="2887" xr:uid="{00000000-0005-0000-0000-000019010000}"/>
    <cellStyle name="_01. 김천 양천초등학교 전기-2차" xfId="2888" xr:uid="{00000000-0005-0000-0000-00001A010000}"/>
    <cellStyle name="_01. 전기내역서(전체)-1" xfId="2889" xr:uid="{00000000-0005-0000-0000-00001B010000}"/>
    <cellStyle name="_01. 전기내역서2" xfId="31" xr:uid="{00000000-0005-0000-0000-00001C010000}"/>
    <cellStyle name="_01.시설(의왕)0129" xfId="2890" xr:uid="{00000000-0005-0000-0000-00001D010000}"/>
    <cellStyle name="_01.전시시설(곡성심청)" xfId="2891" xr:uid="{00000000-0005-0000-0000-00001E010000}"/>
    <cellStyle name="_01.전시시설물(남원국악2층)" xfId="2892" xr:uid="{00000000-0005-0000-0000-00001F010000}"/>
    <cellStyle name="_01~02 1-1A,1B 구간 공사용 임시전력공사 내역서" xfId="32" xr:uid="{00000000-0005-0000-0000-000020010000}"/>
    <cellStyle name="_0106-06-007 금속 및 수장공사 단가견적- 대림" xfId="2893" xr:uid="{00000000-0005-0000-0000-000021010000}"/>
    <cellStyle name="_01-가로등(삼성상용차)" xfId="33" xr:uid="{00000000-0005-0000-0000-000022010000}"/>
    <cellStyle name="_01-가로등(수성못오거리)" xfId="34" xr:uid="{00000000-0005-0000-0000-000023010000}"/>
    <cellStyle name="_01-가로등(신암로)" xfId="35" xr:uid="{00000000-0005-0000-0000-000024010000}"/>
    <cellStyle name="_01-공원등" xfId="36" xr:uid="{00000000-0005-0000-0000-000025010000}"/>
    <cellStyle name="_01년하반기계획" xfId="2894" xr:uid="{00000000-0005-0000-0000-000026010000}"/>
    <cellStyle name="_01-도급성서이곡운동장0316" xfId="37" xr:uid="{00000000-0005-0000-0000-000027010000}"/>
    <cellStyle name="_01-신호기(도촌삼거리)" xfId="38" xr:uid="{00000000-0005-0000-0000-000028010000}"/>
    <cellStyle name="_02 원가계산서" xfId="2895" xr:uid="{00000000-0005-0000-0000-000029010000}"/>
    <cellStyle name="_02. 통신내역서2" xfId="39" xr:uid="{00000000-0005-0000-0000-00002A010000}"/>
    <cellStyle name="_02.연출조명(남원국악2층)" xfId="2896" xr:uid="{00000000-0005-0000-0000-00002B010000}"/>
    <cellStyle name="_02년03월" xfId="2897" xr:uid="{00000000-0005-0000-0000-00002C010000}"/>
    <cellStyle name="_03.실물모형연출(곡성심청)" xfId="2898" xr:uid="{00000000-0005-0000-0000-00002D010000}"/>
    <cellStyle name="_03-신호등(삼성상용차)" xfId="40" xr:uid="{00000000-0005-0000-0000-00002E010000}"/>
    <cellStyle name="_04 일위대가표" xfId="2899" xr:uid="{00000000-0005-0000-0000-00002F010000}"/>
    <cellStyle name="_04. 총괄집계갑지-1" xfId="41" xr:uid="{00000000-0005-0000-0000-000030010000}"/>
    <cellStyle name="_05 단가산출조서" xfId="2900" xr:uid="{00000000-0005-0000-0000-000031010000}"/>
    <cellStyle name="_05 산출근거(방송)" xfId="2901" xr:uid="{00000000-0005-0000-0000-000032010000}"/>
    <cellStyle name="_050726_gg_hw" xfId="2902" xr:uid="{00000000-0005-0000-0000-000033010000}"/>
    <cellStyle name="_06.내역서(경관설비공사)-설계비 변경(9월14일)" xfId="2903" xr:uid="{00000000-0005-0000-0000-000034010000}"/>
    <cellStyle name="_06년)하이패스_점검내역" xfId="2904" xr:uid="{00000000-0005-0000-0000-000035010000}"/>
    <cellStyle name="_06월소장단회의" xfId="2905" xr:uid="{00000000-0005-0000-0000-000036010000}"/>
    <cellStyle name="_070122마산창원하수처리장_(전기)" xfId="42" xr:uid="{00000000-0005-0000-0000-000037010000}"/>
    <cellStyle name="_0803" xfId="43" xr:uid="{00000000-0005-0000-0000-000038010000}"/>
    <cellStyle name="_1-(1).사격장신축전기" xfId="2906" xr:uid="{00000000-0005-0000-0000-000039010000}"/>
    <cellStyle name="_1)낙동강전시(변)" xfId="2907" xr:uid="{00000000-0005-0000-0000-00003A010000}"/>
    <cellStyle name="_1)차소리전시" xfId="2908" xr:uid="{00000000-0005-0000-0000-00003B010000}"/>
    <cellStyle name="_1. 경기35차로하이패스" xfId="2909" xr:uid="{00000000-0005-0000-0000-00003C010000}"/>
    <cellStyle name="_1. 전기" xfId="2910" xr:uid="{00000000-0005-0000-0000-00003D010000}"/>
    <cellStyle name="_1. 총괄(제조+설치)" xfId="2912" xr:uid="{00000000-0005-0000-0000-00003E010000}"/>
    <cellStyle name="_1.남북교류센터(총괄)" xfId="2913" xr:uid="{00000000-0005-0000-0000-00003F010000}"/>
    <cellStyle name="_1.이에이스(의정부제조)-전시" xfId="2914" xr:uid="{00000000-0005-0000-0000-000040010000}"/>
    <cellStyle name="_1.전기내역서(0928)(1차분)" xfId="44" xr:uid="{00000000-0005-0000-0000-000041010000}"/>
    <cellStyle name="_1.조명탑 설치" xfId="2915" xr:uid="{00000000-0005-0000-0000-000042010000}"/>
    <cellStyle name="_1.조선테마(전시시설)" xfId="2916" xr:uid="{00000000-0005-0000-0000-000043010000}"/>
    <cellStyle name="_1.청소년신축전기" xfId="2917" xr:uid="{00000000-0005-0000-0000-000044010000}"/>
    <cellStyle name="_1_터널교통관리시설구축_공사설계서(달성12터널외2개소)" xfId="2918" xr:uid="{00000000-0005-0000-0000-000045010000}"/>
    <cellStyle name="_1+2.무인발매기(제조+구매)-2" xfId="2919" xr:uid="{00000000-0005-0000-0000-000046010000}"/>
    <cellStyle name="_101-대구제일중(전기-고압)" xfId="45" xr:uid="{00000000-0005-0000-0000-000047010000}"/>
    <cellStyle name="_101-수성중(전기-고압)-11" xfId="46" xr:uid="{00000000-0005-0000-0000-000048010000}"/>
    <cellStyle name="_1-1. 조명탑" xfId="2920" xr:uid="{00000000-0005-0000-0000-000049010000}"/>
    <cellStyle name="_11.통합보안관리서버" xfId="2921" xr:uid="{00000000-0005-0000-0000-00004A010000}"/>
    <cellStyle name="_11-방송내역서" xfId="47" xr:uid="{00000000-0005-0000-0000-00004B010000}"/>
    <cellStyle name="_1220-원가조사-전자지불" xfId="2922" xr:uid="{00000000-0005-0000-0000-00004C010000}"/>
    <cellStyle name="_1408 barracks" xfId="2923" xr:uid="{00000000-0005-0000-0000-00004D010000}"/>
    <cellStyle name="_1차1회변경" xfId="48" xr:uid="{00000000-0005-0000-0000-00004E010000}"/>
    <cellStyle name="_1차1회변경_예정공정표" xfId="49" xr:uid="{00000000-0005-0000-0000-00004F010000}"/>
    <cellStyle name="_1-토공" xfId="2925" xr:uid="{00000000-0005-0000-0000-000050010000}"/>
    <cellStyle name="_2. 모형제조" xfId="2926" xr:uid="{00000000-0005-0000-0000-000051010000}"/>
    <cellStyle name="_2.민속박물관(제조-전시)-완" xfId="2927" xr:uid="{00000000-0005-0000-0000-000052010000}"/>
    <cellStyle name="_2.통신내역서" xfId="50" xr:uid="{00000000-0005-0000-0000-000053010000}"/>
    <cellStyle name="_2.통신내역서(0928)(1차분)" xfId="51" xr:uid="{00000000-0005-0000-0000-000054010000}"/>
    <cellStyle name="_2.통신내역서(0928)(전체분)" xfId="52" xr:uid="{00000000-0005-0000-0000-000055010000}"/>
    <cellStyle name="_2000-10회의" xfId="2928" xr:uid="{00000000-0005-0000-0000-000056010000}"/>
    <cellStyle name="_2001 장애조치" xfId="2929" xr:uid="{00000000-0005-0000-0000-000057010000}"/>
    <cellStyle name="_2001년분 실행" xfId="2930" xr:uid="{00000000-0005-0000-0000-000058010000}"/>
    <cellStyle name="_2001년스케쥴" xfId="2931" xr:uid="{00000000-0005-0000-0000-000059010000}"/>
    <cellStyle name="_2001년업무(재조정)" xfId="2932" xr:uid="{00000000-0005-0000-0000-00005A010000}"/>
    <cellStyle name="_2002결과표1" xfId="2933" xr:uid="{00000000-0005-0000-0000-00005B010000}"/>
    <cellStyle name="_2004년공정표(발주처)" xfId="2934" xr:uid="{00000000-0005-0000-0000-00005C010000}"/>
    <cellStyle name="_200KW_구조물내역서" xfId="2935" xr:uid="{00000000-0005-0000-0000-00005D010000}"/>
    <cellStyle name="_2차공사예정공정표" xfId="2936" xr:uid="{00000000-0005-0000-0000-00005E010000}"/>
    <cellStyle name="_2차공사예정공정표_6월기성" xfId="2937" xr:uid="{00000000-0005-0000-0000-00005F010000}"/>
    <cellStyle name="_2차공사예정공정표_6월기성_원등수량" xfId="2938" xr:uid="{00000000-0005-0000-0000-000060010000}"/>
    <cellStyle name="_2차공사예정공정표_원등수량" xfId="2939" xr:uid="{00000000-0005-0000-0000-000061010000}"/>
    <cellStyle name="_2층홀" xfId="2940" xr:uid="{00000000-0005-0000-0000-000062010000}"/>
    <cellStyle name="_3. 영상SW(용역)" xfId="2941" xr:uid="{00000000-0005-0000-0000-000063010000}"/>
    <cellStyle name="_3.소방내역서" xfId="2942" xr:uid="{00000000-0005-0000-0000-000064010000}"/>
    <cellStyle name="_3.소방내역서(0928)(전체분)" xfId="53" xr:uid="{00000000-0005-0000-0000-000065010000}"/>
    <cellStyle name="_3-2(1).다사초소방기계내역서" xfId="54" xr:uid="{00000000-0005-0000-0000-000066010000}"/>
    <cellStyle name="_4.단가대비표" xfId="55" xr:uid="{00000000-0005-0000-0000-000067010000}"/>
    <cellStyle name="_4.파주시(용역_정보영상)" xfId="2943" xr:uid="{00000000-0005-0000-0000-000068010000}"/>
    <cellStyle name="_5.국악의성지(전시모형제조)" xfId="2944" xr:uid="{00000000-0005-0000-0000-000069010000}"/>
    <cellStyle name="_5.남북(정보영상)" xfId="2945" xr:uid="{00000000-0005-0000-0000-00006A010000}"/>
    <cellStyle name="_5.소설태백(전시용영상)" xfId="2946" xr:uid="{00000000-0005-0000-0000-00006B010000}"/>
    <cellStyle name="_5.영상HW-1" xfId="2947" xr:uid="{00000000-0005-0000-0000-00006C010000}"/>
    <cellStyle name="_6)소설태백전기(변환)" xfId="2948" xr:uid="{00000000-0005-0000-0000-00006D010000}"/>
    <cellStyle name="_6.조선테마(전시용정보영상장비)" xfId="2949" xr:uid="{00000000-0005-0000-0000-00006E010000}"/>
    <cellStyle name="_6.태백산맥(전기)" xfId="2950" xr:uid="{00000000-0005-0000-0000-00006F010000}"/>
    <cellStyle name="_7월예정공정표" xfId="2951" xr:uid="{00000000-0005-0000-0000-000070010000}"/>
    <cellStyle name="_8. 전시정보영상SW-원가기관 샘플-2" xfId="2952" xr:uid="{00000000-0005-0000-0000-000071010000}"/>
    <cellStyle name="_8.차소리전기" xfId="2953" xr:uid="{00000000-0005-0000-0000-000072010000}"/>
    <cellStyle name="_8월공무정산(서동조정)" xfId="2954" xr:uid="{00000000-0005-0000-0000-000073010000}"/>
    <cellStyle name="_99광통신간석외1개소" xfId="2955" xr:uid="{00000000-0005-0000-0000-000074010000}"/>
    <cellStyle name="_99광통신간석외1개소_1" xfId="2956" xr:uid="{00000000-0005-0000-0000-000075010000}"/>
    <cellStyle name="_99광통신간석외1개소_견적" xfId="2957" xr:uid="{00000000-0005-0000-0000-000076010000}"/>
    <cellStyle name="_99광통신간석외1개소_통합국사트레이" xfId="2958" xr:uid="{00000000-0005-0000-0000-000077010000}"/>
    <cellStyle name="_99광통신간석외1개소_한미우석" xfId="2959" xr:uid="{00000000-0005-0000-0000-000078010000}"/>
    <cellStyle name="_99광통신간석외1개소_한미우석_견적" xfId="2960" xr:uid="{00000000-0005-0000-0000-000079010000}"/>
    <cellStyle name="_99광통신간석외1개소_한미우석_계양등7개소" xfId="2961" xr:uid="{00000000-0005-0000-0000-00007A010000}"/>
    <cellStyle name="_99광통신간석외1개소_한미우석_통합국사전원선" xfId="2962" xr:uid="{00000000-0005-0000-0000-00007B010000}"/>
    <cellStyle name="_99광통신간석외1개소_한미우석_통합국사트레이" xfId="2963" xr:uid="{00000000-0005-0000-0000-00007C010000}"/>
    <cellStyle name="_99광통신간석외1개소_한미우석_한미은행1" xfId="2964" xr:uid="{00000000-0005-0000-0000-00007D010000}"/>
    <cellStyle name="_99광통신간석외1개소_한미우석_한미은행1_통합국사트레이" xfId="2965" xr:uid="{00000000-0005-0000-0000-00007E010000}"/>
    <cellStyle name="_99광통신간석외1개소_한미우석_한미은행2" xfId="2966" xr:uid="{00000000-0005-0000-0000-00007F010000}"/>
    <cellStyle name="_99광통신간석외1개소_한미우석_한미은행2_견적" xfId="2967" xr:uid="{00000000-0005-0000-0000-000080010000}"/>
    <cellStyle name="_99광통신간석외1개소_한미우석_한미은행2_통합국사트레이" xfId="2968" xr:uid="{00000000-0005-0000-0000-000081010000}"/>
    <cellStyle name="_99광통신간석외1개소_한미우석_한미은행본사" xfId="2969" xr:uid="{00000000-0005-0000-0000-000082010000}"/>
    <cellStyle name="_99광통신간석외1개소_한미우석_한미은행본사_견적" xfId="2970" xr:uid="{00000000-0005-0000-0000-000083010000}"/>
    <cellStyle name="_99광통신간석외1개소_한미우석_한미은행본사_통합국사트레이" xfId="2971" xr:uid="{00000000-0005-0000-0000-000084010000}"/>
    <cellStyle name="_99광통신간석외1개소_한미우석_한미은행본사1" xfId="2972" xr:uid="{00000000-0005-0000-0000-000085010000}"/>
    <cellStyle name="_99광통신간석외1개소_한미우석_한미은행본사1_견적" xfId="2973" xr:uid="{00000000-0005-0000-0000-000086010000}"/>
    <cellStyle name="_99광통신간석외1개소_한미우석_한미은행본사1_통합국사트레이" xfId="2974" xr:uid="{00000000-0005-0000-0000-000087010000}"/>
    <cellStyle name="_99광통신간석외1개소_한미은행본사" xfId="2975" xr:uid="{00000000-0005-0000-0000-000088010000}"/>
    <cellStyle name="_99광통신간석외1개소_한미은행본사_견적" xfId="2976" xr:uid="{00000000-0005-0000-0000-000089010000}"/>
    <cellStyle name="_99광통신간석외1개소_한미은행본사_계양등7개소" xfId="2977" xr:uid="{00000000-0005-0000-0000-00008A010000}"/>
    <cellStyle name="_99광통신간석외1개소_한미은행본사_통합국사전원선" xfId="2978" xr:uid="{00000000-0005-0000-0000-00008B010000}"/>
    <cellStyle name="_99광통신간석외1개소_한미은행본사_통합국사트레이" xfId="2979" xr:uid="{00000000-0005-0000-0000-00008C010000}"/>
    <cellStyle name="_99광통신간석외1개소_한미은행본사_한미은행1" xfId="2980" xr:uid="{00000000-0005-0000-0000-00008D010000}"/>
    <cellStyle name="_99광통신간석외1개소_한미은행본사_한미은행1_통합국사트레이" xfId="2981" xr:uid="{00000000-0005-0000-0000-00008E010000}"/>
    <cellStyle name="_99광통신간석외1개소_한미은행본사_한미은행2" xfId="2982" xr:uid="{00000000-0005-0000-0000-00008F010000}"/>
    <cellStyle name="_99광통신간석외1개소_한미은행본사_한미은행2_견적" xfId="2983" xr:uid="{00000000-0005-0000-0000-000090010000}"/>
    <cellStyle name="_99광통신간석외1개소_한미은행본사_한미은행2_통합국사트레이" xfId="2984" xr:uid="{00000000-0005-0000-0000-000091010000}"/>
    <cellStyle name="_99광통신간석외1개소_한미은행본사_한미은행본사" xfId="2985" xr:uid="{00000000-0005-0000-0000-000092010000}"/>
    <cellStyle name="_99광통신간석외1개소_한미은행본사_한미은행본사_견적" xfId="2986" xr:uid="{00000000-0005-0000-0000-000093010000}"/>
    <cellStyle name="_99광통신간석외1개소_한미은행본사_한미은행본사_통합국사트레이" xfId="2987" xr:uid="{00000000-0005-0000-0000-000094010000}"/>
    <cellStyle name="_99광통신간석외1개소_한미은행본사_한미은행본사1" xfId="2988" xr:uid="{00000000-0005-0000-0000-000095010000}"/>
    <cellStyle name="_99광통신간석외1개소_한미은행본사_한미은행본사1_견적" xfId="2989" xr:uid="{00000000-0005-0000-0000-000096010000}"/>
    <cellStyle name="_99광통신간석외1개소_한미은행본사_한미은행본사1_통합국사트레이" xfId="2990" xr:uid="{00000000-0005-0000-0000-000097010000}"/>
    <cellStyle name="_99광통신간석외1개소_한미케이블" xfId="2991" xr:uid="{00000000-0005-0000-0000-000098010000}"/>
    <cellStyle name="_99광통신간석외1개소_한미케이블_견적" xfId="2992" xr:uid="{00000000-0005-0000-0000-000099010000}"/>
    <cellStyle name="_99광통신간석외1개소_한미케이블_계양등7개소" xfId="2993" xr:uid="{00000000-0005-0000-0000-00009A010000}"/>
    <cellStyle name="_99광통신간석외1개소_한미케이블_통합국사전원선" xfId="2994" xr:uid="{00000000-0005-0000-0000-00009B010000}"/>
    <cellStyle name="_99광통신간석외1개소_한미케이블_통합국사트레이" xfId="2995" xr:uid="{00000000-0005-0000-0000-00009C010000}"/>
    <cellStyle name="_99광통신간석외1개소_한미케이블_한미은행1" xfId="2996" xr:uid="{00000000-0005-0000-0000-00009D010000}"/>
    <cellStyle name="_99광통신간석외1개소_한미케이블_한미은행1_통합국사트레이" xfId="2997" xr:uid="{00000000-0005-0000-0000-00009E010000}"/>
    <cellStyle name="_99광통신간석외1개소_한미케이블_한미은행2" xfId="2998" xr:uid="{00000000-0005-0000-0000-00009F010000}"/>
    <cellStyle name="_99광통신간석외1개소_한미케이블_한미은행2_견적" xfId="2999" xr:uid="{00000000-0005-0000-0000-0000A0010000}"/>
    <cellStyle name="_99광통신간석외1개소_한미케이블_한미은행2_통합국사트레이" xfId="3000" xr:uid="{00000000-0005-0000-0000-0000A1010000}"/>
    <cellStyle name="_99광통신간석외1개소_한미케이블_한미은행본사" xfId="3001" xr:uid="{00000000-0005-0000-0000-0000A2010000}"/>
    <cellStyle name="_99광통신간석외1개소_한미케이블_한미은행본사_견적" xfId="3002" xr:uid="{00000000-0005-0000-0000-0000A3010000}"/>
    <cellStyle name="_99광통신간석외1개소_한미케이블_한미은행본사_통합국사트레이" xfId="3003" xr:uid="{00000000-0005-0000-0000-0000A4010000}"/>
    <cellStyle name="_99광통신간석외1개소_한미케이블_한미은행본사1" xfId="3004" xr:uid="{00000000-0005-0000-0000-0000A5010000}"/>
    <cellStyle name="_99광통신간석외1개소_한미케이블_한미은행본사1_견적" xfId="3005" xr:uid="{00000000-0005-0000-0000-0000A6010000}"/>
    <cellStyle name="_99광통신간석외1개소_한미케이블_한미은행본사1_통합국사트레이" xfId="3006" xr:uid="{00000000-0005-0000-0000-0000A7010000}"/>
    <cellStyle name="_99광통신네트워크 중구 연안지역 보강공사" xfId="3007" xr:uid="{00000000-0005-0000-0000-0000A8010000}"/>
    <cellStyle name="_99광통신네트워크 중구 연안지역 보강공사_1" xfId="3008" xr:uid="{00000000-0005-0000-0000-0000A9010000}"/>
    <cellStyle name="_99광통신네트워크 중구 연안지역 보강공사_견적" xfId="3009" xr:uid="{00000000-0005-0000-0000-0000AA010000}"/>
    <cellStyle name="_99광통신네트워크 중구 연안지역 보강공사_통합국사트레이" xfId="3010" xr:uid="{00000000-0005-0000-0000-0000AB010000}"/>
    <cellStyle name="_99광통신네트워크 중구 연안지역 보강공사_한미우석" xfId="3011" xr:uid="{00000000-0005-0000-0000-0000AC010000}"/>
    <cellStyle name="_99광통신네트워크 중구 연안지역 보강공사_한미우석_견적" xfId="3012" xr:uid="{00000000-0005-0000-0000-0000AD010000}"/>
    <cellStyle name="_99광통신네트워크 중구 연안지역 보강공사_한미우석_계양등7개소" xfId="3013" xr:uid="{00000000-0005-0000-0000-0000AE010000}"/>
    <cellStyle name="_99광통신네트워크 중구 연안지역 보강공사_한미우석_통합국사전원선" xfId="3014" xr:uid="{00000000-0005-0000-0000-0000AF010000}"/>
    <cellStyle name="_99광통신네트워크 중구 연안지역 보강공사_한미우석_통합국사트레이" xfId="3015" xr:uid="{00000000-0005-0000-0000-0000B0010000}"/>
    <cellStyle name="_99광통신네트워크 중구 연안지역 보강공사_한미우석_한미은행1" xfId="3016" xr:uid="{00000000-0005-0000-0000-0000B1010000}"/>
    <cellStyle name="_99광통신네트워크 중구 연안지역 보강공사_한미우석_한미은행1_통합국사트레이" xfId="3017" xr:uid="{00000000-0005-0000-0000-0000B2010000}"/>
    <cellStyle name="_99광통신네트워크 중구 연안지역 보강공사_한미우석_한미은행2" xfId="3018" xr:uid="{00000000-0005-0000-0000-0000B3010000}"/>
    <cellStyle name="_99광통신네트워크 중구 연안지역 보강공사_한미우석_한미은행2_견적" xfId="3019" xr:uid="{00000000-0005-0000-0000-0000B4010000}"/>
    <cellStyle name="_99광통신네트워크 중구 연안지역 보강공사_한미우석_한미은행2_통합국사트레이" xfId="3020" xr:uid="{00000000-0005-0000-0000-0000B5010000}"/>
    <cellStyle name="_99광통신네트워크 중구 연안지역 보강공사_한미우석_한미은행본사" xfId="3021" xr:uid="{00000000-0005-0000-0000-0000B6010000}"/>
    <cellStyle name="_99광통신네트워크 중구 연안지역 보강공사_한미우석_한미은행본사_견적" xfId="3022" xr:uid="{00000000-0005-0000-0000-0000B7010000}"/>
    <cellStyle name="_99광통신네트워크 중구 연안지역 보강공사_한미우석_한미은행본사_통합국사트레이" xfId="3023" xr:uid="{00000000-0005-0000-0000-0000B8010000}"/>
    <cellStyle name="_99광통신네트워크 중구 연안지역 보강공사_한미우석_한미은행본사1" xfId="3024" xr:uid="{00000000-0005-0000-0000-0000B9010000}"/>
    <cellStyle name="_99광통신네트워크 중구 연안지역 보강공사_한미우석_한미은행본사1_견적" xfId="3025" xr:uid="{00000000-0005-0000-0000-0000BA010000}"/>
    <cellStyle name="_99광통신네트워크 중구 연안지역 보강공사_한미우석_한미은행본사1_통합국사트레이" xfId="3026" xr:uid="{00000000-0005-0000-0000-0000BB010000}"/>
    <cellStyle name="_99광통신네트워크 중구 연안지역 보강공사_한미은행본사" xfId="3027" xr:uid="{00000000-0005-0000-0000-0000BC010000}"/>
    <cellStyle name="_99광통신네트워크 중구 연안지역 보강공사_한미은행본사_견적" xfId="3028" xr:uid="{00000000-0005-0000-0000-0000BD010000}"/>
    <cellStyle name="_99광통신네트워크 중구 연안지역 보강공사_한미은행본사_계양등7개소" xfId="3029" xr:uid="{00000000-0005-0000-0000-0000BE010000}"/>
    <cellStyle name="_99광통신네트워크 중구 연안지역 보강공사_한미은행본사_통합국사전원선" xfId="3030" xr:uid="{00000000-0005-0000-0000-0000BF010000}"/>
    <cellStyle name="_99광통신네트워크 중구 연안지역 보강공사_한미은행본사_통합국사트레이" xfId="3031" xr:uid="{00000000-0005-0000-0000-0000C0010000}"/>
    <cellStyle name="_99광통신네트워크 중구 연안지역 보강공사_한미은행본사_한미은행1" xfId="3032" xr:uid="{00000000-0005-0000-0000-0000C1010000}"/>
    <cellStyle name="_99광통신네트워크 중구 연안지역 보강공사_한미은행본사_한미은행1_통합국사트레이" xfId="3033" xr:uid="{00000000-0005-0000-0000-0000C2010000}"/>
    <cellStyle name="_99광통신네트워크 중구 연안지역 보강공사_한미은행본사_한미은행2" xfId="3034" xr:uid="{00000000-0005-0000-0000-0000C3010000}"/>
    <cellStyle name="_99광통신네트워크 중구 연안지역 보강공사_한미은행본사_한미은행2_견적" xfId="3035" xr:uid="{00000000-0005-0000-0000-0000C4010000}"/>
    <cellStyle name="_99광통신네트워크 중구 연안지역 보강공사_한미은행본사_한미은행2_통합국사트레이" xfId="3036" xr:uid="{00000000-0005-0000-0000-0000C5010000}"/>
    <cellStyle name="_99광통신네트워크 중구 연안지역 보강공사_한미은행본사_한미은행본사" xfId="3037" xr:uid="{00000000-0005-0000-0000-0000C6010000}"/>
    <cellStyle name="_99광통신네트워크 중구 연안지역 보강공사_한미은행본사_한미은행본사_견적" xfId="3038" xr:uid="{00000000-0005-0000-0000-0000C7010000}"/>
    <cellStyle name="_99광통신네트워크 중구 연안지역 보강공사_한미은행본사_한미은행본사_통합국사트레이" xfId="3039" xr:uid="{00000000-0005-0000-0000-0000C8010000}"/>
    <cellStyle name="_99광통신네트워크 중구 연안지역 보강공사_한미은행본사_한미은행본사1" xfId="3040" xr:uid="{00000000-0005-0000-0000-0000C9010000}"/>
    <cellStyle name="_99광통신네트워크 중구 연안지역 보강공사_한미은행본사_한미은행본사1_견적" xfId="3041" xr:uid="{00000000-0005-0000-0000-0000CA010000}"/>
    <cellStyle name="_99광통신네트워크 중구 연안지역 보강공사_한미은행본사_한미은행본사1_통합국사트레이" xfId="3042" xr:uid="{00000000-0005-0000-0000-0000CB010000}"/>
    <cellStyle name="_99광통신네트워크 중구 연안지역 보강공사_한미케이블" xfId="3043" xr:uid="{00000000-0005-0000-0000-0000CC010000}"/>
    <cellStyle name="_99광통신네트워크 중구 연안지역 보강공사_한미케이블_견적" xfId="3044" xr:uid="{00000000-0005-0000-0000-0000CD010000}"/>
    <cellStyle name="_99광통신네트워크 중구 연안지역 보강공사_한미케이블_계양등7개소" xfId="3045" xr:uid="{00000000-0005-0000-0000-0000CE010000}"/>
    <cellStyle name="_99광통신네트워크 중구 연안지역 보강공사_한미케이블_통합국사전원선" xfId="3046" xr:uid="{00000000-0005-0000-0000-0000CF010000}"/>
    <cellStyle name="_99광통신네트워크 중구 연안지역 보강공사_한미케이블_통합국사트레이" xfId="3047" xr:uid="{00000000-0005-0000-0000-0000D0010000}"/>
    <cellStyle name="_99광통신네트워크 중구 연안지역 보강공사_한미케이블_한미은행1" xfId="3048" xr:uid="{00000000-0005-0000-0000-0000D1010000}"/>
    <cellStyle name="_99광통신네트워크 중구 연안지역 보강공사_한미케이블_한미은행1_통합국사트레이" xfId="3049" xr:uid="{00000000-0005-0000-0000-0000D2010000}"/>
    <cellStyle name="_99광통신네트워크 중구 연안지역 보강공사_한미케이블_한미은행2" xfId="3050" xr:uid="{00000000-0005-0000-0000-0000D3010000}"/>
    <cellStyle name="_99광통신네트워크 중구 연안지역 보강공사_한미케이블_한미은행2_견적" xfId="3051" xr:uid="{00000000-0005-0000-0000-0000D4010000}"/>
    <cellStyle name="_99광통신네트워크 중구 연안지역 보강공사_한미케이블_한미은행2_통합국사트레이" xfId="3052" xr:uid="{00000000-0005-0000-0000-0000D5010000}"/>
    <cellStyle name="_99광통신네트워크 중구 연안지역 보강공사_한미케이블_한미은행본사" xfId="3053" xr:uid="{00000000-0005-0000-0000-0000D6010000}"/>
    <cellStyle name="_99광통신네트워크 중구 연안지역 보강공사_한미케이블_한미은행본사_견적" xfId="3054" xr:uid="{00000000-0005-0000-0000-0000D7010000}"/>
    <cellStyle name="_99광통신네트워크 중구 연안지역 보강공사_한미케이블_한미은행본사_통합국사트레이" xfId="3055" xr:uid="{00000000-0005-0000-0000-0000D8010000}"/>
    <cellStyle name="_99광통신네트워크 중구 연안지역 보강공사_한미케이블_한미은행본사1" xfId="3056" xr:uid="{00000000-0005-0000-0000-0000D9010000}"/>
    <cellStyle name="_99광통신네트워크 중구 연안지역 보강공사_한미케이블_한미은행본사1_견적" xfId="3057" xr:uid="{00000000-0005-0000-0000-0000DA010000}"/>
    <cellStyle name="_99광통신네트워크 중구 연안지역 보강공사_한미케이블_한미은행본사1_통합국사트레이" xfId="3058" xr:uid="{00000000-0005-0000-0000-0000DB010000}"/>
    <cellStyle name="_99광통신네트워크남구용현외1개소" xfId="3059" xr:uid="{00000000-0005-0000-0000-0000DC010000}"/>
    <cellStyle name="_99광통신네트워크남구용현외1개소_1" xfId="3060" xr:uid="{00000000-0005-0000-0000-0000DD010000}"/>
    <cellStyle name="_99광통신네트워크남구용현외1개소_1_견적" xfId="3061" xr:uid="{00000000-0005-0000-0000-0000DE010000}"/>
    <cellStyle name="_99광통신네트워크남구용현외1개소_1_용현한양외계약및준공관련" xfId="3062" xr:uid="{00000000-0005-0000-0000-0000DF010000}"/>
    <cellStyle name="_99광통신네트워크남구용현외1개소_1_통합국사트레이" xfId="3063" xr:uid="{00000000-0005-0000-0000-0000E0010000}"/>
    <cellStyle name="_99광통신네트워크남구용현외1개소_1_파워콤간이공사관련" xfId="3064" xr:uid="{00000000-0005-0000-0000-0000E1010000}"/>
    <cellStyle name="_99광통신네트워크남구용현외1개소_1_한미우석" xfId="3065" xr:uid="{00000000-0005-0000-0000-0000E2010000}"/>
    <cellStyle name="_99광통신네트워크남구용현외1개소_1_한미우석_견적" xfId="3066" xr:uid="{00000000-0005-0000-0000-0000E3010000}"/>
    <cellStyle name="_99광통신네트워크남구용현외1개소_1_한미우석_계양등7개소" xfId="3067" xr:uid="{00000000-0005-0000-0000-0000E4010000}"/>
    <cellStyle name="_99광통신네트워크남구용현외1개소_1_한미우석_통합국사전원선" xfId="3068" xr:uid="{00000000-0005-0000-0000-0000E5010000}"/>
    <cellStyle name="_99광통신네트워크남구용현외1개소_1_한미우석_통합국사트레이" xfId="3069" xr:uid="{00000000-0005-0000-0000-0000E6010000}"/>
    <cellStyle name="_99광통신네트워크남구용현외1개소_1_한미우석_한미은행1" xfId="3070" xr:uid="{00000000-0005-0000-0000-0000E7010000}"/>
    <cellStyle name="_99광통신네트워크남구용현외1개소_1_한미우석_한미은행1_통합국사트레이" xfId="3071" xr:uid="{00000000-0005-0000-0000-0000E8010000}"/>
    <cellStyle name="_99광통신네트워크남구용현외1개소_1_한미우석_한미은행2" xfId="3072" xr:uid="{00000000-0005-0000-0000-0000E9010000}"/>
    <cellStyle name="_99광통신네트워크남구용현외1개소_1_한미우석_한미은행2_견적" xfId="3073" xr:uid="{00000000-0005-0000-0000-0000EA010000}"/>
    <cellStyle name="_99광통신네트워크남구용현외1개소_1_한미우석_한미은행2_통합국사트레이" xfId="3074" xr:uid="{00000000-0005-0000-0000-0000EB010000}"/>
    <cellStyle name="_99광통신네트워크남구용현외1개소_1_한미우석_한미은행본사" xfId="3075" xr:uid="{00000000-0005-0000-0000-0000EC010000}"/>
    <cellStyle name="_99광통신네트워크남구용현외1개소_1_한미우석_한미은행본사_견적" xfId="3076" xr:uid="{00000000-0005-0000-0000-0000ED010000}"/>
    <cellStyle name="_99광통신네트워크남구용현외1개소_1_한미우석_한미은행본사_통합국사트레이" xfId="3077" xr:uid="{00000000-0005-0000-0000-0000EE010000}"/>
    <cellStyle name="_99광통신네트워크남구용현외1개소_1_한미우석_한미은행본사1" xfId="3078" xr:uid="{00000000-0005-0000-0000-0000EF010000}"/>
    <cellStyle name="_99광통신네트워크남구용현외1개소_1_한미우석_한미은행본사1_견적" xfId="3079" xr:uid="{00000000-0005-0000-0000-0000F0010000}"/>
    <cellStyle name="_99광통신네트워크남구용현외1개소_1_한미우석_한미은행본사1_통합국사트레이" xfId="3080" xr:uid="{00000000-0005-0000-0000-0000F1010000}"/>
    <cellStyle name="_99광통신네트워크남구용현외1개소_1_한미은행본사" xfId="3081" xr:uid="{00000000-0005-0000-0000-0000F2010000}"/>
    <cellStyle name="_99광통신네트워크남구용현외1개소_1_한미은행본사_견적" xfId="3082" xr:uid="{00000000-0005-0000-0000-0000F3010000}"/>
    <cellStyle name="_99광통신네트워크남구용현외1개소_1_한미은행본사_계양등7개소" xfId="3083" xr:uid="{00000000-0005-0000-0000-0000F4010000}"/>
    <cellStyle name="_99광통신네트워크남구용현외1개소_1_한미은행본사_통합국사전원선" xfId="3084" xr:uid="{00000000-0005-0000-0000-0000F5010000}"/>
    <cellStyle name="_99광통신네트워크남구용현외1개소_1_한미은행본사_통합국사트레이" xfId="3085" xr:uid="{00000000-0005-0000-0000-0000F6010000}"/>
    <cellStyle name="_99광통신네트워크남구용현외1개소_1_한미은행본사_한미은행1" xfId="3086" xr:uid="{00000000-0005-0000-0000-0000F7010000}"/>
    <cellStyle name="_99광통신네트워크남구용현외1개소_1_한미은행본사_한미은행1_통합국사트레이" xfId="3087" xr:uid="{00000000-0005-0000-0000-0000F8010000}"/>
    <cellStyle name="_99광통신네트워크남구용현외1개소_1_한미은행본사_한미은행2" xfId="3088" xr:uid="{00000000-0005-0000-0000-0000F9010000}"/>
    <cellStyle name="_99광통신네트워크남구용현외1개소_1_한미은행본사_한미은행2_견적" xfId="3089" xr:uid="{00000000-0005-0000-0000-0000FA010000}"/>
    <cellStyle name="_99광통신네트워크남구용현외1개소_1_한미은행본사_한미은행2_통합국사트레이" xfId="3090" xr:uid="{00000000-0005-0000-0000-0000FB010000}"/>
    <cellStyle name="_99광통신네트워크남구용현외1개소_1_한미은행본사_한미은행본사" xfId="3091" xr:uid="{00000000-0005-0000-0000-0000FC010000}"/>
    <cellStyle name="_99광통신네트워크남구용현외1개소_1_한미은행본사_한미은행본사_견적" xfId="3092" xr:uid="{00000000-0005-0000-0000-0000FD010000}"/>
    <cellStyle name="_99광통신네트워크남구용현외1개소_1_한미은행본사_한미은행본사_통합국사트레이" xfId="3093" xr:uid="{00000000-0005-0000-0000-0000FE010000}"/>
    <cellStyle name="_99광통신네트워크남구용현외1개소_1_한미은행본사_한미은행본사1" xfId="3094" xr:uid="{00000000-0005-0000-0000-0000FF010000}"/>
    <cellStyle name="_99광통신네트워크남구용현외1개소_1_한미은행본사_한미은행본사1_견적" xfId="3095" xr:uid="{00000000-0005-0000-0000-000000020000}"/>
    <cellStyle name="_99광통신네트워크남구용현외1개소_1_한미은행본사_한미은행본사1_통합국사트레이" xfId="3096" xr:uid="{00000000-0005-0000-0000-000001020000}"/>
    <cellStyle name="_99광통신네트워크남구용현외1개소_1_한미케이블" xfId="3097" xr:uid="{00000000-0005-0000-0000-000002020000}"/>
    <cellStyle name="_99광통신네트워크남구용현외1개소_1_한미케이블_견적" xfId="3098" xr:uid="{00000000-0005-0000-0000-000003020000}"/>
    <cellStyle name="_99광통신네트워크남구용현외1개소_1_한미케이블_계양등7개소" xfId="3099" xr:uid="{00000000-0005-0000-0000-000004020000}"/>
    <cellStyle name="_99광통신네트워크남구용현외1개소_1_한미케이블_통합국사전원선" xfId="3100" xr:uid="{00000000-0005-0000-0000-000005020000}"/>
    <cellStyle name="_99광통신네트워크남구용현외1개소_1_한미케이블_통합국사트레이" xfId="3101" xr:uid="{00000000-0005-0000-0000-000006020000}"/>
    <cellStyle name="_99광통신네트워크남구용현외1개소_1_한미케이블_한미은행1" xfId="3102" xr:uid="{00000000-0005-0000-0000-000007020000}"/>
    <cellStyle name="_99광통신네트워크남구용현외1개소_1_한미케이블_한미은행1_통합국사트레이" xfId="3103" xr:uid="{00000000-0005-0000-0000-000008020000}"/>
    <cellStyle name="_99광통신네트워크남구용현외1개소_1_한미케이블_한미은행2" xfId="3104" xr:uid="{00000000-0005-0000-0000-000009020000}"/>
    <cellStyle name="_99광통신네트워크남구용현외1개소_1_한미케이블_한미은행2_견적" xfId="3105" xr:uid="{00000000-0005-0000-0000-00000A020000}"/>
    <cellStyle name="_99광통신네트워크남구용현외1개소_1_한미케이블_한미은행2_통합국사트레이" xfId="3106" xr:uid="{00000000-0005-0000-0000-00000B020000}"/>
    <cellStyle name="_99광통신네트워크남구용현외1개소_1_한미케이블_한미은행본사" xfId="3107" xr:uid="{00000000-0005-0000-0000-00000C020000}"/>
    <cellStyle name="_99광통신네트워크남구용현외1개소_1_한미케이블_한미은행본사_견적" xfId="3108" xr:uid="{00000000-0005-0000-0000-00000D020000}"/>
    <cellStyle name="_99광통신네트워크남구용현외1개소_1_한미케이블_한미은행본사_통합국사트레이" xfId="3109" xr:uid="{00000000-0005-0000-0000-00000E020000}"/>
    <cellStyle name="_99광통신네트워크남구용현외1개소_1_한미케이블_한미은행본사1" xfId="3110" xr:uid="{00000000-0005-0000-0000-00000F020000}"/>
    <cellStyle name="_99광통신네트워크남구용현외1개소_1_한미케이블_한미은행본사1_견적" xfId="3111" xr:uid="{00000000-0005-0000-0000-000010020000}"/>
    <cellStyle name="_99광통신네트워크남구용현외1개소_1_한미케이블_한미은행본사1_통합국사트레이" xfId="3112" xr:uid="{00000000-0005-0000-0000-000011020000}"/>
    <cellStyle name="_99광통신네트워크남구용현외1개소_용현한양외계약및준공관련" xfId="3113" xr:uid="{00000000-0005-0000-0000-000012020000}"/>
    <cellStyle name="_99광통신네트워크남구용현외1개소_용현한양외계약및준공관련_견적" xfId="3114" xr:uid="{00000000-0005-0000-0000-000013020000}"/>
    <cellStyle name="_99광통신네트워크남구용현외1개소_용현한양외계약및준공관련_통합국사트레이" xfId="3115" xr:uid="{00000000-0005-0000-0000-000014020000}"/>
    <cellStyle name="_99광통신네트워크남구용현외1개소_용현한양외계약및준공관련_한미우석" xfId="3116" xr:uid="{00000000-0005-0000-0000-000015020000}"/>
    <cellStyle name="_99광통신네트워크남구용현외1개소_용현한양외계약및준공관련_한미우석_견적" xfId="3117" xr:uid="{00000000-0005-0000-0000-000016020000}"/>
    <cellStyle name="_99광통신네트워크남구용현외1개소_용현한양외계약및준공관련_한미우석_계양등7개소" xfId="3118" xr:uid="{00000000-0005-0000-0000-000017020000}"/>
    <cellStyle name="_99광통신네트워크남구용현외1개소_용현한양외계약및준공관련_한미우석_통합국사전원선" xfId="3119" xr:uid="{00000000-0005-0000-0000-000018020000}"/>
    <cellStyle name="_99광통신네트워크남구용현외1개소_용현한양외계약및준공관련_한미우석_통합국사트레이" xfId="3120" xr:uid="{00000000-0005-0000-0000-000019020000}"/>
    <cellStyle name="_99광통신네트워크남구용현외1개소_용현한양외계약및준공관련_한미우석_한미은행1" xfId="3121" xr:uid="{00000000-0005-0000-0000-00001A020000}"/>
    <cellStyle name="_99광통신네트워크남구용현외1개소_용현한양외계약및준공관련_한미우석_한미은행1_통합국사트레이" xfId="3122" xr:uid="{00000000-0005-0000-0000-00001B020000}"/>
    <cellStyle name="_99광통신네트워크남구용현외1개소_용현한양외계약및준공관련_한미우석_한미은행2" xfId="3123" xr:uid="{00000000-0005-0000-0000-00001C020000}"/>
    <cellStyle name="_99광통신네트워크남구용현외1개소_용현한양외계약및준공관련_한미우석_한미은행2_견적" xfId="3124" xr:uid="{00000000-0005-0000-0000-00001D020000}"/>
    <cellStyle name="_99광통신네트워크남구용현외1개소_용현한양외계약및준공관련_한미우석_한미은행2_통합국사트레이" xfId="3125" xr:uid="{00000000-0005-0000-0000-00001E020000}"/>
    <cellStyle name="_99광통신네트워크남구용현외1개소_용현한양외계약및준공관련_한미우석_한미은행본사" xfId="3126" xr:uid="{00000000-0005-0000-0000-00001F020000}"/>
    <cellStyle name="_99광통신네트워크남구용현외1개소_용현한양외계약및준공관련_한미우석_한미은행본사_견적" xfId="3127" xr:uid="{00000000-0005-0000-0000-000020020000}"/>
    <cellStyle name="_99광통신네트워크남구용현외1개소_용현한양외계약및준공관련_한미우석_한미은행본사_통합국사트레이" xfId="3128" xr:uid="{00000000-0005-0000-0000-000021020000}"/>
    <cellStyle name="_99광통신네트워크남구용현외1개소_용현한양외계약및준공관련_한미우석_한미은행본사1" xfId="3129" xr:uid="{00000000-0005-0000-0000-000022020000}"/>
    <cellStyle name="_99광통신네트워크남구용현외1개소_용현한양외계약및준공관련_한미우석_한미은행본사1_견적" xfId="3130" xr:uid="{00000000-0005-0000-0000-000023020000}"/>
    <cellStyle name="_99광통신네트워크남구용현외1개소_용현한양외계약및준공관련_한미우석_한미은행본사1_통합국사트레이" xfId="3131" xr:uid="{00000000-0005-0000-0000-000024020000}"/>
    <cellStyle name="_99광통신네트워크남구용현외1개소_용현한양외계약및준공관련_한미은행본사" xfId="3132" xr:uid="{00000000-0005-0000-0000-000025020000}"/>
    <cellStyle name="_99광통신네트워크남구용현외1개소_용현한양외계약및준공관련_한미은행본사_견적" xfId="3133" xr:uid="{00000000-0005-0000-0000-000026020000}"/>
    <cellStyle name="_99광통신네트워크남구용현외1개소_용현한양외계약및준공관련_한미은행본사_계양등7개소" xfId="3134" xr:uid="{00000000-0005-0000-0000-000027020000}"/>
    <cellStyle name="_99광통신네트워크남구용현외1개소_용현한양외계약및준공관련_한미은행본사_통합국사전원선" xfId="3135" xr:uid="{00000000-0005-0000-0000-000028020000}"/>
    <cellStyle name="_99광통신네트워크남구용현외1개소_용현한양외계약및준공관련_한미은행본사_통합국사트레이" xfId="3136" xr:uid="{00000000-0005-0000-0000-000029020000}"/>
    <cellStyle name="_99광통신네트워크남구용현외1개소_용현한양외계약및준공관련_한미은행본사_한미은행1" xfId="3137" xr:uid="{00000000-0005-0000-0000-00002A020000}"/>
    <cellStyle name="_99광통신네트워크남구용현외1개소_용현한양외계약및준공관련_한미은행본사_한미은행1_통합국사트레이" xfId="3138" xr:uid="{00000000-0005-0000-0000-00002B020000}"/>
    <cellStyle name="_99광통신네트워크남구용현외1개소_용현한양외계약및준공관련_한미은행본사_한미은행2" xfId="3139" xr:uid="{00000000-0005-0000-0000-00002C020000}"/>
    <cellStyle name="_99광통신네트워크남구용현외1개소_용현한양외계약및준공관련_한미은행본사_한미은행2_견적" xfId="3140" xr:uid="{00000000-0005-0000-0000-00002D020000}"/>
    <cellStyle name="_99광통신네트워크남구용현외1개소_용현한양외계약및준공관련_한미은행본사_한미은행2_통합국사트레이" xfId="3141" xr:uid="{00000000-0005-0000-0000-00002E020000}"/>
    <cellStyle name="_99광통신네트워크남구용현외1개소_용현한양외계약및준공관련_한미은행본사_한미은행본사" xfId="3142" xr:uid="{00000000-0005-0000-0000-00002F020000}"/>
    <cellStyle name="_99광통신네트워크남구용현외1개소_용현한양외계약및준공관련_한미은행본사_한미은행본사_견적" xfId="3143" xr:uid="{00000000-0005-0000-0000-000030020000}"/>
    <cellStyle name="_99광통신네트워크남구용현외1개소_용현한양외계약및준공관련_한미은행본사_한미은행본사_통합국사트레이" xfId="3144" xr:uid="{00000000-0005-0000-0000-000031020000}"/>
    <cellStyle name="_99광통신네트워크남구용현외1개소_용현한양외계약및준공관련_한미은행본사_한미은행본사1" xfId="3145" xr:uid="{00000000-0005-0000-0000-000032020000}"/>
    <cellStyle name="_99광통신네트워크남구용현외1개소_용현한양외계약및준공관련_한미은행본사_한미은행본사1_견적" xfId="3146" xr:uid="{00000000-0005-0000-0000-000033020000}"/>
    <cellStyle name="_99광통신네트워크남구용현외1개소_용현한양외계약및준공관련_한미은행본사_한미은행본사1_통합국사트레이" xfId="3147" xr:uid="{00000000-0005-0000-0000-000034020000}"/>
    <cellStyle name="_99광통신네트워크남구용현외1개소_용현한양외계약및준공관련_한미케이블" xfId="3148" xr:uid="{00000000-0005-0000-0000-000035020000}"/>
    <cellStyle name="_99광통신네트워크남구용현외1개소_용현한양외계약및준공관련_한미케이블_견적" xfId="3149" xr:uid="{00000000-0005-0000-0000-000036020000}"/>
    <cellStyle name="_99광통신네트워크남구용현외1개소_용현한양외계약및준공관련_한미케이블_계양등7개소" xfId="3150" xr:uid="{00000000-0005-0000-0000-000037020000}"/>
    <cellStyle name="_99광통신네트워크남구용현외1개소_용현한양외계약및준공관련_한미케이블_통합국사전원선" xfId="3151" xr:uid="{00000000-0005-0000-0000-000038020000}"/>
    <cellStyle name="_99광통신네트워크남구용현외1개소_용현한양외계약및준공관련_한미케이블_통합국사트레이" xfId="3152" xr:uid="{00000000-0005-0000-0000-000039020000}"/>
    <cellStyle name="_99광통신네트워크남구용현외1개소_용현한양외계약및준공관련_한미케이블_한미은행1" xfId="3153" xr:uid="{00000000-0005-0000-0000-00003A020000}"/>
    <cellStyle name="_99광통신네트워크남구용현외1개소_용현한양외계약및준공관련_한미케이블_한미은행1_통합국사트레이" xfId="3154" xr:uid="{00000000-0005-0000-0000-00003B020000}"/>
    <cellStyle name="_99광통신네트워크남구용현외1개소_용현한양외계약및준공관련_한미케이블_한미은행2" xfId="3155" xr:uid="{00000000-0005-0000-0000-00003C020000}"/>
    <cellStyle name="_99광통신네트워크남구용현외1개소_용현한양외계약및준공관련_한미케이블_한미은행2_견적" xfId="3156" xr:uid="{00000000-0005-0000-0000-00003D020000}"/>
    <cellStyle name="_99광통신네트워크남구용현외1개소_용현한양외계약및준공관련_한미케이블_한미은행2_통합국사트레이" xfId="3157" xr:uid="{00000000-0005-0000-0000-00003E020000}"/>
    <cellStyle name="_99광통신네트워크남구용현외1개소_용현한양외계약및준공관련_한미케이블_한미은행본사" xfId="3158" xr:uid="{00000000-0005-0000-0000-00003F020000}"/>
    <cellStyle name="_99광통신네트워크남구용현외1개소_용현한양외계약및준공관련_한미케이블_한미은행본사_견적" xfId="3159" xr:uid="{00000000-0005-0000-0000-000040020000}"/>
    <cellStyle name="_99광통신네트워크남구용현외1개소_용현한양외계약및준공관련_한미케이블_한미은행본사_통합국사트레이" xfId="3160" xr:uid="{00000000-0005-0000-0000-000041020000}"/>
    <cellStyle name="_99광통신네트워크남구용현외1개소_용현한양외계약및준공관련_한미케이블_한미은행본사1" xfId="3161" xr:uid="{00000000-0005-0000-0000-000042020000}"/>
    <cellStyle name="_99광통신네트워크남구용현외1개소_용현한양외계약및준공관련_한미케이블_한미은행본사1_견적" xfId="3162" xr:uid="{00000000-0005-0000-0000-000043020000}"/>
    <cellStyle name="_99광통신네트워크남구용현외1개소_용현한양외계약및준공관련_한미케이블_한미은행본사1_통합국사트레이" xfId="3163" xr:uid="{00000000-0005-0000-0000-000044020000}"/>
    <cellStyle name="_99광통신네트워크남구용현외1개소_파워콤간이공사관련" xfId="3164" xr:uid="{00000000-0005-0000-0000-000045020000}"/>
    <cellStyle name="_99광통신네트워크남구용현외1개소_파워콤간이공사관련_견적" xfId="3165" xr:uid="{00000000-0005-0000-0000-000046020000}"/>
    <cellStyle name="_99광통신네트워크남구용현외1개소_파워콤간이공사관련_통합국사트레이" xfId="3166" xr:uid="{00000000-0005-0000-0000-000047020000}"/>
    <cellStyle name="_99광통신네트워크남구용현외1개소_파워콤간이공사관련_한미우석" xfId="3167" xr:uid="{00000000-0005-0000-0000-000048020000}"/>
    <cellStyle name="_99광통신네트워크남구용현외1개소_파워콤간이공사관련_한미우석_견적" xfId="3168" xr:uid="{00000000-0005-0000-0000-000049020000}"/>
    <cellStyle name="_99광통신네트워크남구용현외1개소_파워콤간이공사관련_한미우석_계양등7개소" xfId="3169" xr:uid="{00000000-0005-0000-0000-00004A020000}"/>
    <cellStyle name="_99광통신네트워크남구용현외1개소_파워콤간이공사관련_한미우석_통합국사전원선" xfId="3170" xr:uid="{00000000-0005-0000-0000-00004B020000}"/>
    <cellStyle name="_99광통신네트워크남구용현외1개소_파워콤간이공사관련_한미우석_통합국사트레이" xfId="3171" xr:uid="{00000000-0005-0000-0000-00004C020000}"/>
    <cellStyle name="_99광통신네트워크남구용현외1개소_파워콤간이공사관련_한미우석_한미은행1" xfId="3172" xr:uid="{00000000-0005-0000-0000-00004D020000}"/>
    <cellStyle name="_99광통신네트워크남구용현외1개소_파워콤간이공사관련_한미우석_한미은행1_통합국사트레이" xfId="3173" xr:uid="{00000000-0005-0000-0000-00004E020000}"/>
    <cellStyle name="_99광통신네트워크남구용현외1개소_파워콤간이공사관련_한미우석_한미은행2" xfId="3174" xr:uid="{00000000-0005-0000-0000-00004F020000}"/>
    <cellStyle name="_99광통신네트워크남구용현외1개소_파워콤간이공사관련_한미우석_한미은행2_견적" xfId="3175" xr:uid="{00000000-0005-0000-0000-000050020000}"/>
    <cellStyle name="_99광통신네트워크남구용현외1개소_파워콤간이공사관련_한미우석_한미은행2_통합국사트레이" xfId="3176" xr:uid="{00000000-0005-0000-0000-000051020000}"/>
    <cellStyle name="_99광통신네트워크남구용현외1개소_파워콤간이공사관련_한미우석_한미은행본사" xfId="3177" xr:uid="{00000000-0005-0000-0000-000052020000}"/>
    <cellStyle name="_99광통신네트워크남구용현외1개소_파워콤간이공사관련_한미우석_한미은행본사_견적" xfId="3178" xr:uid="{00000000-0005-0000-0000-000053020000}"/>
    <cellStyle name="_99광통신네트워크남구용현외1개소_파워콤간이공사관련_한미우석_한미은행본사_통합국사트레이" xfId="3179" xr:uid="{00000000-0005-0000-0000-000054020000}"/>
    <cellStyle name="_99광통신네트워크남구용현외1개소_파워콤간이공사관련_한미우석_한미은행본사1" xfId="3180" xr:uid="{00000000-0005-0000-0000-000055020000}"/>
    <cellStyle name="_99광통신네트워크남구용현외1개소_파워콤간이공사관련_한미우석_한미은행본사1_견적" xfId="3181" xr:uid="{00000000-0005-0000-0000-000056020000}"/>
    <cellStyle name="_99광통신네트워크남구용현외1개소_파워콤간이공사관련_한미우석_한미은행본사1_통합국사트레이" xfId="3182" xr:uid="{00000000-0005-0000-0000-000057020000}"/>
    <cellStyle name="_99광통신네트워크남구용현외1개소_파워콤간이공사관련_한미은행본사" xfId="3183" xr:uid="{00000000-0005-0000-0000-000058020000}"/>
    <cellStyle name="_99광통신네트워크남구용현외1개소_파워콤간이공사관련_한미은행본사_견적" xfId="3184" xr:uid="{00000000-0005-0000-0000-000059020000}"/>
    <cellStyle name="_99광통신네트워크남구용현외1개소_파워콤간이공사관련_한미은행본사_계양등7개소" xfId="3185" xr:uid="{00000000-0005-0000-0000-00005A020000}"/>
    <cellStyle name="_99광통신네트워크남구용현외1개소_파워콤간이공사관련_한미은행본사_통합국사전원선" xfId="3186" xr:uid="{00000000-0005-0000-0000-00005B020000}"/>
    <cellStyle name="_99광통신네트워크남구용현외1개소_파워콤간이공사관련_한미은행본사_통합국사트레이" xfId="3187" xr:uid="{00000000-0005-0000-0000-00005C020000}"/>
    <cellStyle name="_99광통신네트워크남구용현외1개소_파워콤간이공사관련_한미은행본사_한미은행1" xfId="3188" xr:uid="{00000000-0005-0000-0000-00005D020000}"/>
    <cellStyle name="_99광통신네트워크남구용현외1개소_파워콤간이공사관련_한미은행본사_한미은행1_통합국사트레이" xfId="3189" xr:uid="{00000000-0005-0000-0000-00005E020000}"/>
    <cellStyle name="_99광통신네트워크남구용현외1개소_파워콤간이공사관련_한미은행본사_한미은행2" xfId="3190" xr:uid="{00000000-0005-0000-0000-00005F020000}"/>
    <cellStyle name="_99광통신네트워크남구용현외1개소_파워콤간이공사관련_한미은행본사_한미은행2_견적" xfId="3191" xr:uid="{00000000-0005-0000-0000-000060020000}"/>
    <cellStyle name="_99광통신네트워크남구용현외1개소_파워콤간이공사관련_한미은행본사_한미은행2_통합국사트레이" xfId="3192" xr:uid="{00000000-0005-0000-0000-000061020000}"/>
    <cellStyle name="_99광통신네트워크남구용현외1개소_파워콤간이공사관련_한미은행본사_한미은행본사" xfId="3193" xr:uid="{00000000-0005-0000-0000-000062020000}"/>
    <cellStyle name="_99광통신네트워크남구용현외1개소_파워콤간이공사관련_한미은행본사_한미은행본사_견적" xfId="3194" xr:uid="{00000000-0005-0000-0000-000063020000}"/>
    <cellStyle name="_99광통신네트워크남구용현외1개소_파워콤간이공사관련_한미은행본사_한미은행본사_통합국사트레이" xfId="3195" xr:uid="{00000000-0005-0000-0000-000064020000}"/>
    <cellStyle name="_99광통신네트워크남구용현외1개소_파워콤간이공사관련_한미은행본사_한미은행본사1" xfId="3196" xr:uid="{00000000-0005-0000-0000-000065020000}"/>
    <cellStyle name="_99광통신네트워크남구용현외1개소_파워콤간이공사관련_한미은행본사_한미은행본사1_견적" xfId="3197" xr:uid="{00000000-0005-0000-0000-000066020000}"/>
    <cellStyle name="_99광통신네트워크남구용현외1개소_파워콤간이공사관련_한미은행본사_한미은행본사1_통합국사트레이" xfId="3198" xr:uid="{00000000-0005-0000-0000-000067020000}"/>
    <cellStyle name="_99광통신네트워크남구용현외1개소_파워콤간이공사관련_한미케이블" xfId="3199" xr:uid="{00000000-0005-0000-0000-000068020000}"/>
    <cellStyle name="_99광통신네트워크남구용현외1개소_파워콤간이공사관련_한미케이블_견적" xfId="3200" xr:uid="{00000000-0005-0000-0000-000069020000}"/>
    <cellStyle name="_99광통신네트워크남구용현외1개소_파워콤간이공사관련_한미케이블_계양등7개소" xfId="3201" xr:uid="{00000000-0005-0000-0000-00006A020000}"/>
    <cellStyle name="_99광통신네트워크남구용현외1개소_파워콤간이공사관련_한미케이블_통합국사전원선" xfId="3202" xr:uid="{00000000-0005-0000-0000-00006B020000}"/>
    <cellStyle name="_99광통신네트워크남구용현외1개소_파워콤간이공사관련_한미케이블_통합국사트레이" xfId="3203" xr:uid="{00000000-0005-0000-0000-00006C020000}"/>
    <cellStyle name="_99광통신네트워크남구용현외1개소_파워콤간이공사관련_한미케이블_한미은행1" xfId="3204" xr:uid="{00000000-0005-0000-0000-00006D020000}"/>
    <cellStyle name="_99광통신네트워크남구용현외1개소_파워콤간이공사관련_한미케이블_한미은행1_통합국사트레이" xfId="3205" xr:uid="{00000000-0005-0000-0000-00006E020000}"/>
    <cellStyle name="_99광통신네트워크남구용현외1개소_파워콤간이공사관련_한미케이블_한미은행2" xfId="3206" xr:uid="{00000000-0005-0000-0000-00006F020000}"/>
    <cellStyle name="_99광통신네트워크남구용현외1개소_파워콤간이공사관련_한미케이블_한미은행2_견적" xfId="3207" xr:uid="{00000000-0005-0000-0000-000070020000}"/>
    <cellStyle name="_99광통신네트워크남구용현외1개소_파워콤간이공사관련_한미케이블_한미은행2_통합국사트레이" xfId="3208" xr:uid="{00000000-0005-0000-0000-000071020000}"/>
    <cellStyle name="_99광통신네트워크남구용현외1개소_파워콤간이공사관련_한미케이블_한미은행본사" xfId="3209" xr:uid="{00000000-0005-0000-0000-000072020000}"/>
    <cellStyle name="_99광통신네트워크남구용현외1개소_파워콤간이공사관련_한미케이블_한미은행본사_견적" xfId="3210" xr:uid="{00000000-0005-0000-0000-000073020000}"/>
    <cellStyle name="_99광통신네트워크남구용현외1개소_파워콤간이공사관련_한미케이블_한미은행본사_통합국사트레이" xfId="3211" xr:uid="{00000000-0005-0000-0000-000074020000}"/>
    <cellStyle name="_99광통신네트워크남구용현외1개소_파워콤간이공사관련_한미케이블_한미은행본사1" xfId="3212" xr:uid="{00000000-0005-0000-0000-000075020000}"/>
    <cellStyle name="_99광통신네트워크남구용현외1개소_파워콤간이공사관련_한미케이블_한미은행본사1_견적" xfId="3213" xr:uid="{00000000-0005-0000-0000-000076020000}"/>
    <cellStyle name="_99광통신네트워크남구용현외1개소_파워콤간이공사관련_한미케이블_한미은행본사1_통합국사트레이" xfId="3214" xr:uid="{00000000-0005-0000-0000-000077020000}"/>
    <cellStyle name="_99광통신시흥방산" xfId="3215" xr:uid="{00000000-0005-0000-0000-000078020000}"/>
    <cellStyle name="_99광통신시흥방산_1" xfId="3216" xr:uid="{00000000-0005-0000-0000-000079020000}"/>
    <cellStyle name="_99광통신시흥방산_1_견적" xfId="3217" xr:uid="{00000000-0005-0000-0000-00007A020000}"/>
    <cellStyle name="_99광통신시흥방산_1_통합국사트레이" xfId="3218" xr:uid="{00000000-0005-0000-0000-00007B020000}"/>
    <cellStyle name="_99광통신시흥방산_1_한미우석" xfId="3219" xr:uid="{00000000-0005-0000-0000-00007C020000}"/>
    <cellStyle name="_99광통신시흥방산_1_한미우석_견적" xfId="3220" xr:uid="{00000000-0005-0000-0000-00007D020000}"/>
    <cellStyle name="_99광통신시흥방산_1_한미우석_계양등7개소" xfId="3221" xr:uid="{00000000-0005-0000-0000-00007E020000}"/>
    <cellStyle name="_99광통신시흥방산_1_한미우석_통합국사전원선" xfId="3222" xr:uid="{00000000-0005-0000-0000-00007F020000}"/>
    <cellStyle name="_99광통신시흥방산_1_한미우석_통합국사트레이" xfId="3223" xr:uid="{00000000-0005-0000-0000-000080020000}"/>
    <cellStyle name="_99광통신시흥방산_1_한미우석_한미은행1" xfId="3224" xr:uid="{00000000-0005-0000-0000-000081020000}"/>
    <cellStyle name="_99광통신시흥방산_1_한미우석_한미은행1_통합국사트레이" xfId="3225" xr:uid="{00000000-0005-0000-0000-000082020000}"/>
    <cellStyle name="_99광통신시흥방산_1_한미우석_한미은행2" xfId="3226" xr:uid="{00000000-0005-0000-0000-000083020000}"/>
    <cellStyle name="_99광통신시흥방산_1_한미우석_한미은행2_견적" xfId="3227" xr:uid="{00000000-0005-0000-0000-000084020000}"/>
    <cellStyle name="_99광통신시흥방산_1_한미우석_한미은행2_통합국사트레이" xfId="3228" xr:uid="{00000000-0005-0000-0000-000085020000}"/>
    <cellStyle name="_99광통신시흥방산_1_한미우석_한미은행본사" xfId="3229" xr:uid="{00000000-0005-0000-0000-000086020000}"/>
    <cellStyle name="_99광통신시흥방산_1_한미우석_한미은행본사_견적" xfId="3230" xr:uid="{00000000-0005-0000-0000-000087020000}"/>
    <cellStyle name="_99광통신시흥방산_1_한미우석_한미은행본사_통합국사트레이" xfId="3231" xr:uid="{00000000-0005-0000-0000-000088020000}"/>
    <cellStyle name="_99광통신시흥방산_1_한미우석_한미은행본사1" xfId="3232" xr:uid="{00000000-0005-0000-0000-000089020000}"/>
    <cellStyle name="_99광통신시흥방산_1_한미우석_한미은행본사1_견적" xfId="3233" xr:uid="{00000000-0005-0000-0000-00008A020000}"/>
    <cellStyle name="_99광통신시흥방산_1_한미우석_한미은행본사1_통합국사트레이" xfId="3234" xr:uid="{00000000-0005-0000-0000-00008B020000}"/>
    <cellStyle name="_99광통신시흥방산_1_한미은행본사" xfId="3235" xr:uid="{00000000-0005-0000-0000-00008C020000}"/>
    <cellStyle name="_99광통신시흥방산_1_한미은행본사_견적" xfId="3236" xr:uid="{00000000-0005-0000-0000-00008D020000}"/>
    <cellStyle name="_99광통신시흥방산_1_한미은행본사_계양등7개소" xfId="3237" xr:uid="{00000000-0005-0000-0000-00008E020000}"/>
    <cellStyle name="_99광통신시흥방산_1_한미은행본사_통합국사전원선" xfId="3238" xr:uid="{00000000-0005-0000-0000-00008F020000}"/>
    <cellStyle name="_99광통신시흥방산_1_한미은행본사_통합국사트레이" xfId="3239" xr:uid="{00000000-0005-0000-0000-000090020000}"/>
    <cellStyle name="_99광통신시흥방산_1_한미은행본사_한미은행1" xfId="3240" xr:uid="{00000000-0005-0000-0000-000091020000}"/>
    <cellStyle name="_99광통신시흥방산_1_한미은행본사_한미은행1_통합국사트레이" xfId="3241" xr:uid="{00000000-0005-0000-0000-000092020000}"/>
    <cellStyle name="_99광통신시흥방산_1_한미은행본사_한미은행2" xfId="3242" xr:uid="{00000000-0005-0000-0000-000093020000}"/>
    <cellStyle name="_99광통신시흥방산_1_한미은행본사_한미은행2_견적" xfId="3243" xr:uid="{00000000-0005-0000-0000-000094020000}"/>
    <cellStyle name="_99광통신시흥방산_1_한미은행본사_한미은행2_통합국사트레이" xfId="3244" xr:uid="{00000000-0005-0000-0000-000095020000}"/>
    <cellStyle name="_99광통신시흥방산_1_한미은행본사_한미은행본사" xfId="3245" xr:uid="{00000000-0005-0000-0000-000096020000}"/>
    <cellStyle name="_99광통신시흥방산_1_한미은행본사_한미은행본사_견적" xfId="3246" xr:uid="{00000000-0005-0000-0000-000097020000}"/>
    <cellStyle name="_99광통신시흥방산_1_한미은행본사_한미은행본사_통합국사트레이" xfId="3247" xr:uid="{00000000-0005-0000-0000-000098020000}"/>
    <cellStyle name="_99광통신시흥방산_1_한미은행본사_한미은행본사1" xfId="3248" xr:uid="{00000000-0005-0000-0000-000099020000}"/>
    <cellStyle name="_99광통신시흥방산_1_한미은행본사_한미은행본사1_견적" xfId="3249" xr:uid="{00000000-0005-0000-0000-00009A020000}"/>
    <cellStyle name="_99광통신시흥방산_1_한미은행본사_한미은행본사1_통합국사트레이" xfId="3250" xr:uid="{00000000-0005-0000-0000-00009B020000}"/>
    <cellStyle name="_99광통신시흥방산_1_한미케이블" xfId="3251" xr:uid="{00000000-0005-0000-0000-00009C020000}"/>
    <cellStyle name="_99광통신시흥방산_1_한미케이블_견적" xfId="3252" xr:uid="{00000000-0005-0000-0000-00009D020000}"/>
    <cellStyle name="_99광통신시흥방산_1_한미케이블_계양등7개소" xfId="3253" xr:uid="{00000000-0005-0000-0000-00009E020000}"/>
    <cellStyle name="_99광통신시흥방산_1_한미케이블_통합국사전원선" xfId="3254" xr:uid="{00000000-0005-0000-0000-00009F020000}"/>
    <cellStyle name="_99광통신시흥방산_1_한미케이블_통합국사트레이" xfId="3255" xr:uid="{00000000-0005-0000-0000-0000A0020000}"/>
    <cellStyle name="_99광통신시흥방산_1_한미케이블_한미은행1" xfId="3256" xr:uid="{00000000-0005-0000-0000-0000A1020000}"/>
    <cellStyle name="_99광통신시흥방산_1_한미케이블_한미은행1_통합국사트레이" xfId="3257" xr:uid="{00000000-0005-0000-0000-0000A2020000}"/>
    <cellStyle name="_99광통신시흥방산_1_한미케이블_한미은행2" xfId="3258" xr:uid="{00000000-0005-0000-0000-0000A3020000}"/>
    <cellStyle name="_99광통신시흥방산_1_한미케이블_한미은행2_견적" xfId="3259" xr:uid="{00000000-0005-0000-0000-0000A4020000}"/>
    <cellStyle name="_99광통신시흥방산_1_한미케이블_한미은행2_통합국사트레이" xfId="3260" xr:uid="{00000000-0005-0000-0000-0000A5020000}"/>
    <cellStyle name="_99광통신시흥방산_1_한미케이블_한미은행본사" xfId="3261" xr:uid="{00000000-0005-0000-0000-0000A6020000}"/>
    <cellStyle name="_99광통신시흥방산_1_한미케이블_한미은행본사_견적" xfId="3262" xr:uid="{00000000-0005-0000-0000-0000A7020000}"/>
    <cellStyle name="_99광통신시흥방산_1_한미케이블_한미은행본사_통합국사트레이" xfId="3263" xr:uid="{00000000-0005-0000-0000-0000A8020000}"/>
    <cellStyle name="_99광통신시흥방산_1_한미케이블_한미은행본사1" xfId="3264" xr:uid="{00000000-0005-0000-0000-0000A9020000}"/>
    <cellStyle name="_99광통신시흥방산_1_한미케이블_한미은행본사1_견적" xfId="3265" xr:uid="{00000000-0005-0000-0000-0000AA020000}"/>
    <cellStyle name="_99광통신시흥방산_1_한미케이블_한미은행본사1_통합국사트레이" xfId="3266" xr:uid="{00000000-0005-0000-0000-0000AB020000}"/>
    <cellStyle name="_99광통신시흥방산_2" xfId="3267" xr:uid="{00000000-0005-0000-0000-0000AC020000}"/>
    <cellStyle name="_99신현외1개소보강" xfId="3268" xr:uid="{00000000-0005-0000-0000-0000AD020000}"/>
    <cellStyle name="_9월소장단회의" xfId="3269" xr:uid="{00000000-0005-0000-0000-0000AE020000}"/>
    <cellStyle name="_A,C부지 예산서" xfId="4063" xr:uid="{00000000-0005-0000-0000-0000AF020000}"/>
    <cellStyle name="_aasCost조정1" xfId="4064" xr:uid="{00000000-0005-0000-0000-0000B0020000}"/>
    <cellStyle name="_AEf입찰견적01" xfId="4065" xr:uid="{00000000-0005-0000-0000-0000B1020000}"/>
    <cellStyle name="_Book1" xfId="2002" xr:uid="{00000000-0005-0000-0000-0000B2020000}"/>
    <cellStyle name="_Book1_집계표" xfId="4067" xr:uid="{00000000-0005-0000-0000-0000B3020000}"/>
    <cellStyle name="_Book2" xfId="4068" xr:uid="{00000000-0005-0000-0000-0000B4020000}"/>
    <cellStyle name="_Book3" xfId="4069" xr:uid="{00000000-0005-0000-0000-0000B5020000}"/>
    <cellStyle name="_B업체(최종)" xfId="4066" xr:uid="{00000000-0005-0000-0000-0000B6020000}"/>
    <cellStyle name="_C_견적서(한국환경에너지)" xfId="4070" xr:uid="{00000000-0005-0000-0000-0000B7020000}"/>
    <cellStyle name="_cover" xfId="4074" xr:uid="{00000000-0005-0000-0000-0000B8020000}"/>
    <cellStyle name="_C앤C" xfId="4071" xr:uid="{00000000-0005-0000-0000-0000B9020000}"/>
    <cellStyle name="_C앤C(네트웍)" xfId="4072" xr:uid="{00000000-0005-0000-0000-0000BA020000}"/>
    <cellStyle name="_C앤C원가계산" xfId="4073" xr:uid="{00000000-0005-0000-0000-0000BB020000}"/>
    <cellStyle name="_esco-설비" xfId="4075" xr:uid="{00000000-0005-0000-0000-0000BC020000}"/>
    <cellStyle name="_FCST (2)" xfId="4076" xr:uid="{00000000-0005-0000-0000-0000BD020000}"/>
    <cellStyle name="_GN_극동건설(주)_덕정병원_토목(작업)-1" xfId="4077" xr:uid="{00000000-0005-0000-0000-0000BE020000}"/>
    <cellStyle name="_jCC입찰견적" xfId="4078" xr:uid="{00000000-0005-0000-0000-0000BF020000}"/>
    <cellStyle name="_jCC입찰견적01" xfId="4079" xr:uid="{00000000-0005-0000-0000-0000C0020000}"/>
    <cellStyle name="_MBR1~3 (version 1)" xfId="4080" xr:uid="{00000000-0005-0000-0000-0000C1020000}"/>
    <cellStyle name="_Project brief" xfId="4081" xr:uid="{00000000-0005-0000-0000-0000C2020000}"/>
    <cellStyle name="_r양주회암사지-전기산출서" xfId="4082" xr:uid="{00000000-0005-0000-0000-0000C3020000}"/>
    <cellStyle name="_Sheet1" xfId="4083" xr:uid="{00000000-0005-0000-0000-0000C4020000}"/>
    <cellStyle name="_Sheet1_1" xfId="4084" xr:uid="{00000000-0005-0000-0000-0000C5020000}"/>
    <cellStyle name="_Sheet2" xfId="4085" xr:uid="{00000000-0005-0000-0000-0000C6020000}"/>
    <cellStyle name="_Sheet2_1" xfId="4086" xr:uid="{00000000-0005-0000-0000-0000C7020000}"/>
    <cellStyle name="_Sheet3" xfId="4087" xr:uid="{00000000-0005-0000-0000-0000C8020000}"/>
    <cellStyle name="_Sheet3_1" xfId="4088" xr:uid="{00000000-0005-0000-0000-0000C9020000}"/>
    <cellStyle name="_ss" xfId="4089" xr:uid="{00000000-0005-0000-0000-0000CA020000}"/>
    <cellStyle name="_TCS 영업소(050214)" xfId="4090" xr:uid="{00000000-0005-0000-0000-0000CB020000}"/>
    <cellStyle name="_Virus" xfId="2003" xr:uid="{00000000-0005-0000-0000-0000CC020000}"/>
    <cellStyle name="_X" xfId="4093" xr:uid="{00000000-0005-0000-0000-0000CD020000}"/>
    <cellStyle name="_가(내역서)기본형식" xfId="56" xr:uid="{00000000-0005-0000-0000-0000CE020000}"/>
    <cellStyle name="_가로등+점검등산출" xfId="3270" xr:uid="{00000000-0005-0000-0000-0000CF020000}"/>
    <cellStyle name="_가로등3차공사전체분" xfId="57" xr:uid="{00000000-0005-0000-0000-0000D0020000}"/>
    <cellStyle name="_가로등3차공사전체분_1. 전기(구지면사무소)" xfId="3271" xr:uid="{00000000-0005-0000-0000-0000D1020000}"/>
    <cellStyle name="_가로등3차공사전체분_내역서,공량(어린이회관)-1" xfId="58" xr:uid="{00000000-0005-0000-0000-0000D2020000}"/>
    <cellStyle name="_가로등3차공사전체분_전기내역서" xfId="59" xr:uid="{00000000-0005-0000-0000-0000D3020000}"/>
    <cellStyle name="_가로등도급내역서" xfId="60" xr:uid="{00000000-0005-0000-0000-0000D4020000}"/>
    <cellStyle name="_가시설" xfId="3273" xr:uid="{00000000-0005-0000-0000-0000D5020000}"/>
    <cellStyle name="_간지" xfId="3274" xr:uid="{00000000-0005-0000-0000-0000D6020000}"/>
    <cellStyle name="_간지,목차,페이지,표지" xfId="3275" xr:uid="{00000000-0005-0000-0000-0000D7020000}"/>
    <cellStyle name="_감가상각(01년도) (2)" xfId="3276" xr:uid="{00000000-0005-0000-0000-0000D8020000}"/>
    <cellStyle name="_감가상각(01년도) (3)" xfId="3277" xr:uid="{00000000-0005-0000-0000-0000D9020000}"/>
    <cellStyle name="_감귤박물관영상제작설치내역(뷰로테크)" xfId="3278" xr:uid="{00000000-0005-0000-0000-0000DA020000}"/>
    <cellStyle name="_감포축구장" xfId="61" xr:uid="{00000000-0005-0000-0000-0000DB020000}"/>
    <cellStyle name="_갑지" xfId="62" xr:uid="{00000000-0005-0000-0000-0000DC020000}"/>
    <cellStyle name="_갑지(1221)" xfId="63" xr:uid="{00000000-0005-0000-0000-0000DD020000}"/>
    <cellStyle name="_갑지(총)" xfId="64" xr:uid="{00000000-0005-0000-0000-0000DE020000}"/>
    <cellStyle name="_갑지,원가1104" xfId="65" xr:uid="{00000000-0005-0000-0000-0000DF020000}"/>
    <cellStyle name="_강과장(Fronnix,설계가1126)" xfId="66" xr:uid="{00000000-0005-0000-0000-0000E0020000}"/>
    <cellStyle name="_강남 상면 환경공사" xfId="3279" xr:uid="{00000000-0005-0000-0000-0000E1020000}"/>
    <cellStyle name="_강내투찰내역서-x" xfId="67" xr:uid="{00000000-0005-0000-0000-0000E2020000}"/>
    <cellStyle name="_강내투찰내역서-x_예정공정표" xfId="68" xr:uid="{00000000-0005-0000-0000-0000E3020000}"/>
    <cellStyle name="_강내투찰내역서-x_왜관-태평건설" xfId="69" xr:uid="{00000000-0005-0000-0000-0000E4020000}"/>
    <cellStyle name="_강내투찰내역서-x_왜관-태평건설_예정공정표" xfId="70" xr:uid="{00000000-0005-0000-0000-0000E5020000}"/>
    <cellStyle name="_강릉남산교-제출본" xfId="3280" xr:uid="{00000000-0005-0000-0000-0000E6020000}"/>
    <cellStyle name="_강산FRP" xfId="3281" xr:uid="{00000000-0005-0000-0000-0000E7020000}"/>
    <cellStyle name="_강원지역본부(2006년_060109)" xfId="3284" xr:uid="{00000000-0005-0000-0000-0000E8020000}"/>
    <cellStyle name="_개선형표지판(제조)-전송" xfId="3288" xr:uid="{00000000-0005-0000-0000-0000E9020000}"/>
    <cellStyle name="_개신초등학교 다목적강당 방송설비" xfId="3290" xr:uid="{00000000-0005-0000-0000-0000EA020000}"/>
    <cellStyle name="_개요" xfId="71" xr:uid="{00000000-0005-0000-0000-0000EB020000}"/>
    <cellStyle name="_개요(봉림)-참고용" xfId="72" xr:uid="{00000000-0005-0000-0000-0000EC020000}"/>
    <cellStyle name="_개요(봉림)-최종" xfId="73" xr:uid="{00000000-0005-0000-0000-0000ED020000}"/>
    <cellStyle name="_개요(주안-인천)" xfId="74" xr:uid="{00000000-0005-0000-0000-0000EE020000}"/>
    <cellStyle name="_거게관광호텔 일위대가" xfId="3291" xr:uid="{00000000-0005-0000-0000-0000EF020000}"/>
    <cellStyle name="_거래실례" xfId="3292" xr:uid="{00000000-0005-0000-0000-0000F0020000}"/>
    <cellStyle name="_건설관리과" xfId="3293" xr:uid="{00000000-0005-0000-0000-0000F1020000}"/>
    <cellStyle name="_건축내역" xfId="75" xr:uid="{00000000-0005-0000-0000-0000F2020000}"/>
    <cellStyle name="_검사수수료" xfId="76" xr:uid="{00000000-0005-0000-0000-0000F3020000}"/>
    <cellStyle name="_견적" xfId="3294" xr:uid="{00000000-0005-0000-0000-0000F4020000}"/>
    <cellStyle name="_견적샘플" xfId="3295" xr:uid="{00000000-0005-0000-0000-0000F5020000}"/>
    <cellStyle name="_견적서" xfId="3296" xr:uid="{00000000-0005-0000-0000-0000F6020000}"/>
    <cellStyle name="_견적서(040713)" xfId="3297" xr:uid="{00000000-0005-0000-0000-0000F7020000}"/>
    <cellStyle name="_견적서(1014)" xfId="77" xr:uid="{00000000-0005-0000-0000-0000F8020000}"/>
    <cellStyle name="_견적서(5월14일)" xfId="3298" xr:uid="{00000000-0005-0000-0000-0000F9020000}"/>
    <cellStyle name="_견적서(달성군태양광 12kW(최종)" xfId="78" xr:uid="{00000000-0005-0000-0000-0000FA020000}"/>
    <cellStyle name="_견적서(한국경제정책연구소)-20050128" xfId="3299" xr:uid="{00000000-0005-0000-0000-0000FB020000}"/>
    <cellStyle name="_견적서_모바일경기-정현창" xfId="3300" xr:uid="{00000000-0005-0000-0000-0000FC020000}"/>
    <cellStyle name="_견적서-0213-CACC" xfId="79" xr:uid="{00000000-0005-0000-0000-0000FD020000}"/>
    <cellStyle name="_견적서갑지양식" xfId="3301" xr:uid="{00000000-0005-0000-0000-0000FE020000}"/>
    <cellStyle name="_견적서양식(동진)" xfId="3302" xr:uid="{00000000-0005-0000-0000-0000FF020000}"/>
    <cellStyle name="_견적서양식(동진)_04-HS013(두산중공업)" xfId="3303" xr:uid="{00000000-0005-0000-0000-000000030000}"/>
    <cellStyle name="_견적서양식(동진)_04-HS013(두산중공업)_부산대학교-연구동(샘플)" xfId="3304" xr:uid="{00000000-0005-0000-0000-000001030000}"/>
    <cellStyle name="_견적서양식(동진)_04-KH002(홍원제지)" xfId="3305" xr:uid="{00000000-0005-0000-0000-000002030000}"/>
    <cellStyle name="_견적서양식(동진)_04-KH002(홍원제지)_부산대학교-연구동(샘플)" xfId="3306" xr:uid="{00000000-0005-0000-0000-000003030000}"/>
    <cellStyle name="_견적서양식(동진)_04-KW002(수지정수장대양)" xfId="3307" xr:uid="{00000000-0005-0000-0000-000004030000}"/>
    <cellStyle name="_견적서양식(동진)_04-KW002(수지정수장대양)_부산대학교-연구동(샘플)" xfId="3308" xr:uid="{00000000-0005-0000-0000-000005030000}"/>
    <cellStyle name="_견적서양식(동진)_05-HH001" xfId="3309" xr:uid="{00000000-0005-0000-0000-000006030000}"/>
    <cellStyle name="_견적서양식(동진)_05-HH001_부산대학교-연구동(샘플)" xfId="3310" xr:uid="{00000000-0005-0000-0000-000007030000}"/>
    <cellStyle name="_견적서양식(동진)_부산대학교-연구동(샘플)" xfId="3311" xr:uid="{00000000-0005-0000-0000-000008030000}"/>
    <cellStyle name="_견적서-제출용0325-서울시" xfId="80" xr:uid="{00000000-0005-0000-0000-000009030000}"/>
    <cellStyle name="_견적서-클래러스-경기도청-이정환이사님-SUN 480.xls" xfId="3312" xr:uid="{00000000-0005-0000-0000-00000A030000}"/>
    <cellStyle name="_견적요청자료(일위대가)(1)" xfId="3313" xr:uid="{00000000-0005-0000-0000-00000B030000}"/>
    <cellStyle name="_견적조건서" xfId="3314" xr:uid="{00000000-0005-0000-0000-00000C030000}"/>
    <cellStyle name="_견적폼(1)" xfId="3315" xr:uid="{00000000-0005-0000-0000-00000D030000}"/>
    <cellStyle name="_결재문서 정보공개시스템" xfId="3316" xr:uid="{00000000-0005-0000-0000-00000E030000}"/>
    <cellStyle name="_경기산림전시관전기공사" xfId="3317" xr:uid="{00000000-0005-0000-0000-00000F030000}"/>
    <cellStyle name="_경남유통CCTV(040302)최종" xfId="3321" xr:uid="{00000000-0005-0000-0000-000010030000}"/>
    <cellStyle name="_경남지역본부-" xfId="3322" xr:uid="{00000000-0005-0000-0000-000011030000}"/>
    <cellStyle name="_경북031002" xfId="81" xr:uid="{00000000-0005-0000-0000-000012030000}"/>
    <cellStyle name="_경북고 외 3교 장애인 편의시설 전기내역(화장실)" xfId="82" xr:uid="{00000000-0005-0000-0000-000013030000}"/>
    <cellStyle name="_경북지역본부-" xfId="3356" xr:uid="{00000000-0005-0000-0000-000014030000}"/>
    <cellStyle name="_경상북도생물건강산업-설계변경(제1회)내역서" xfId="83" xr:uid="{00000000-0005-0000-0000-000015030000}"/>
    <cellStyle name="_경주여중신축-전기소방" xfId="3358" xr:uid="{00000000-0005-0000-0000-000016030000}"/>
    <cellStyle name="_경주축구공원-전기0116" xfId="84" xr:uid="{00000000-0005-0000-0000-000017030000}"/>
    <cellStyle name="_계량기내역서" xfId="3359" xr:uid="{00000000-0005-0000-0000-000018030000}"/>
    <cellStyle name="_계중기(051216)" xfId="3360" xr:uid="{00000000-0005-0000-0000-000019030000}"/>
    <cellStyle name="_고객서비스모니터링" xfId="3361" xr:uid="{00000000-0005-0000-0000-00001A030000}"/>
    <cellStyle name="_고산투찰" xfId="85" xr:uid="{00000000-0005-0000-0000-00001B030000}"/>
    <cellStyle name="_고속철도11-1부대품의" xfId="3362" xr:uid="{00000000-0005-0000-0000-00001C030000}"/>
    <cellStyle name="_고속철도11-1부대품의_6월기성" xfId="3363" xr:uid="{00000000-0005-0000-0000-00001D030000}"/>
    <cellStyle name="_고속철도11-1부대품의_6월기성_원등수량" xfId="3364" xr:uid="{00000000-0005-0000-0000-00001E030000}"/>
    <cellStyle name="_고속철도11-1부대품의_원등수량" xfId="3365" xr:uid="{00000000-0005-0000-0000-00001F030000}"/>
    <cellStyle name="_고철11-1부대현설" xfId="3366" xr:uid="{00000000-0005-0000-0000-000020030000}"/>
    <cellStyle name="_고철11-1부대현설_6월기성" xfId="3367" xr:uid="{00000000-0005-0000-0000-000021030000}"/>
    <cellStyle name="_고철11-1부대현설_6월기성_원등수량" xfId="3368" xr:uid="{00000000-0005-0000-0000-000022030000}"/>
    <cellStyle name="_고철11-1부대현설_원등수량" xfId="3369" xr:uid="{00000000-0005-0000-0000-000023030000}"/>
    <cellStyle name="_곡성고_생활관_증축공사(분전반)1" xfId="3370" xr:uid="{00000000-0005-0000-0000-000024030000}"/>
    <cellStyle name="_공무월간보고" xfId="3371" xr:uid="{00000000-0005-0000-0000-000025030000}"/>
    <cellStyle name="_공무월간보고_공무정산양식(10월초)" xfId="3372" xr:uid="{00000000-0005-0000-0000-000026030000}"/>
    <cellStyle name="_공무월간보고_공무정산양식(10월초)_기성내역서" xfId="3373" xr:uid="{00000000-0005-0000-0000-000027030000}"/>
    <cellStyle name="_공무월간보고_공무정산양식(10월초)_기성내역서_전체계약변경(03)" xfId="3374" xr:uid="{00000000-0005-0000-0000-000028030000}"/>
    <cellStyle name="_공무월간보고_공무정산양식(10월초)_전체계약변경(03)" xfId="3375" xr:uid="{00000000-0005-0000-0000-000029030000}"/>
    <cellStyle name="_공무월간보고_공무정산양식(10월초)_포장외건(최종)" xfId="3376" xr:uid="{00000000-0005-0000-0000-00002A030000}"/>
    <cellStyle name="_공무월간보고_기성내역서" xfId="3377" xr:uid="{00000000-0005-0000-0000-00002B030000}"/>
    <cellStyle name="_공무월간보고_기성내역서_전체계약변경(03)" xfId="3378" xr:uid="{00000000-0005-0000-0000-00002C030000}"/>
    <cellStyle name="_공무월간보고_전체계약변경(03)" xfId="3379" xr:uid="{00000000-0005-0000-0000-00002D030000}"/>
    <cellStyle name="_공무월간보고_포장외건(최종)" xfId="3380" xr:uid="{00000000-0005-0000-0000-00002E030000}"/>
    <cellStyle name="_공무정산0104" xfId="3381" xr:uid="{00000000-0005-0000-0000-00002F030000}"/>
    <cellStyle name="_공무정산0104_공무정산양식(10월초)" xfId="3382" xr:uid="{00000000-0005-0000-0000-000030030000}"/>
    <cellStyle name="_공무정산0104_공무정산양식(10월초)_기성내역서" xfId="3383" xr:uid="{00000000-0005-0000-0000-000031030000}"/>
    <cellStyle name="_공무정산0104_공무정산양식(10월초)_기성내역서_전체계약변경(03)" xfId="3384" xr:uid="{00000000-0005-0000-0000-000032030000}"/>
    <cellStyle name="_공무정산0104_공무정산양식(10월초)_전체계약변경(03)" xfId="3385" xr:uid="{00000000-0005-0000-0000-000033030000}"/>
    <cellStyle name="_공무정산0104_공무정산양식(10월초)_포장외건(최종)" xfId="3386" xr:uid="{00000000-0005-0000-0000-000034030000}"/>
    <cellStyle name="_공무정산0104_기성내역서" xfId="3387" xr:uid="{00000000-0005-0000-0000-000035030000}"/>
    <cellStyle name="_공무정산0104_기성내역서_전체계약변경(03)" xfId="3388" xr:uid="{00000000-0005-0000-0000-000036030000}"/>
    <cellStyle name="_공무정산0104_전체계약변경(03)" xfId="3389" xr:uid="{00000000-0005-0000-0000-000037030000}"/>
    <cellStyle name="_공무정산0104_포장외건(최종)" xfId="3390" xr:uid="{00000000-0005-0000-0000-000038030000}"/>
    <cellStyle name="_공조기~1" xfId="86" xr:uid="{00000000-0005-0000-0000-000039030000}"/>
    <cellStyle name="_공주서천4실행" xfId="3391" xr:uid="{00000000-0005-0000-0000-00003A030000}"/>
    <cellStyle name="_공주서천4실행_6월기성" xfId="3392" xr:uid="{00000000-0005-0000-0000-00003B030000}"/>
    <cellStyle name="_공주서천4실행_6월기성_원등수량" xfId="3393" xr:uid="{00000000-0005-0000-0000-00003C030000}"/>
    <cellStyle name="_공주서천4실행_원등수량" xfId="3394" xr:uid="{00000000-0005-0000-0000-00003D030000}"/>
    <cellStyle name="_과학의 날 행사용 영상물제작" xfId="3395" xr:uid="{00000000-0005-0000-0000-00003E030000}"/>
    <cellStyle name="_관급내역서" xfId="87" xr:uid="{00000000-0005-0000-0000-00003F030000}"/>
    <cellStyle name="_관급내역서(1)" xfId="88" xr:uid="{00000000-0005-0000-0000-000040030000}"/>
    <cellStyle name="_관급자재내역(전기)" xfId="89" xr:uid="{00000000-0005-0000-0000-000041030000}"/>
    <cellStyle name="_관리비&amp; 공통부대공(원덕)" xfId="3396" xr:uid="{00000000-0005-0000-0000-000042030000}"/>
    <cellStyle name="_광가입자전송장비(FLC)삼성" xfId="3397" xr:uid="{00000000-0005-0000-0000-000043030000}"/>
    <cellStyle name="_광릉투찰" xfId="90" xr:uid="{00000000-0005-0000-0000-000044030000}"/>
    <cellStyle name="_광릉투찰_예정공정표" xfId="91" xr:uid="{00000000-0005-0000-0000-000045030000}"/>
    <cellStyle name="_광릉투찰_왜관-태평건설" xfId="92" xr:uid="{00000000-0005-0000-0000-000046030000}"/>
    <cellStyle name="_광릉투찰_왜관-태평건설_예정공정표" xfId="93" xr:uid="{00000000-0005-0000-0000-000047030000}"/>
    <cellStyle name="_광메카실행내역1106" xfId="3398" xr:uid="{00000000-0005-0000-0000-000048030000}"/>
    <cellStyle name="_광안리내역서(구도)" xfId="3399" xr:uid="{00000000-0005-0000-0000-000049030000}"/>
    <cellStyle name="_광주증설교체" xfId="3400" xr:uid="{00000000-0005-0000-0000-00004A030000}"/>
    <cellStyle name="_광케이블_SNI_LGCNS_1" xfId="3401" xr:uid="{00000000-0005-0000-0000-00004B030000}"/>
    <cellStyle name="_교사동 통신내역서" xfId="3402" xr:uid="{00000000-0005-0000-0000-00004C030000}"/>
    <cellStyle name="_구로지사 증축 및 보수공사 2차(최종)-12.16(신규)" xfId="3403" xr:uid="{00000000-0005-0000-0000-00004D030000}"/>
    <cellStyle name="_구로지사 증축 및 보수공사(최종)+개요" xfId="3404" xr:uid="{00000000-0005-0000-0000-00004E030000}"/>
    <cellStyle name="_구문소철암투찰" xfId="94" xr:uid="{00000000-0005-0000-0000-00004F030000}"/>
    <cellStyle name="_구문소철암투찰_광릉투찰" xfId="95" xr:uid="{00000000-0005-0000-0000-000050030000}"/>
    <cellStyle name="_구문소철암투찰_광릉투찰_예정공정표" xfId="96" xr:uid="{00000000-0005-0000-0000-000051030000}"/>
    <cellStyle name="_구문소철암투찰_광릉투찰_왜관-태평건설" xfId="97" xr:uid="{00000000-0005-0000-0000-000052030000}"/>
    <cellStyle name="_구문소철암투찰_광릉투찰_왜관-태평건설_예정공정표" xfId="98" xr:uid="{00000000-0005-0000-0000-000053030000}"/>
    <cellStyle name="_구문소철암투찰_무창투찰" xfId="99" xr:uid="{00000000-0005-0000-0000-000054030000}"/>
    <cellStyle name="_구문소철암투찰_무창투찰_예정공정표" xfId="100" xr:uid="{00000000-0005-0000-0000-000055030000}"/>
    <cellStyle name="_구문소철암투찰_예정공정표" xfId="101" xr:uid="{00000000-0005-0000-0000-000056030000}"/>
    <cellStyle name="_구문소철암투찰_왜관-태평건설" xfId="102" xr:uid="{00000000-0005-0000-0000-000057030000}"/>
    <cellStyle name="_구문소철암투찰_왜관-태평건설_예정공정표" xfId="103" xr:uid="{00000000-0005-0000-0000-000058030000}"/>
    <cellStyle name="_구미고 도서관 내역서" xfId="3405" xr:uid="{00000000-0005-0000-0000-000059030000}"/>
    <cellStyle name="_구미중학교내역서-1" xfId="104" xr:uid="{00000000-0005-0000-0000-00005A030000}"/>
    <cellStyle name="_구조물적산(안양지청)-20080501" xfId="3406" xr:uid="{00000000-0005-0000-0000-00005B030000}"/>
    <cellStyle name="_국도23호선영암연소지구내역서" xfId="105" xr:uid="{00000000-0005-0000-0000-00005C030000}"/>
    <cellStyle name="_국도38호선통리지구내역서" xfId="106" xr:uid="{00000000-0005-0000-0000-00005D030000}"/>
    <cellStyle name="_국도42호선여량지구오르막차로" xfId="107" xr:uid="{00000000-0005-0000-0000-00005E030000}"/>
    <cellStyle name="_군위내역서(A동)" xfId="108" xr:uid="{00000000-0005-0000-0000-00005F030000}"/>
    <cellStyle name="_궁안교시행구분" xfId="3407" xr:uid="{00000000-0005-0000-0000-000060030000}"/>
    <cellStyle name="_궁안교用" xfId="3408" xr:uid="{00000000-0005-0000-0000-000061030000}"/>
    <cellStyle name="_근로자 복지관(전기)-830납품" xfId="109" xr:uid="{00000000-0005-0000-0000-000062030000}"/>
    <cellStyle name="_금천청소년수련관(토목林)" xfId="110" xr:uid="{00000000-0005-0000-0000-000063030000}"/>
    <cellStyle name="_급식소 소방내역서" xfId="111" xr:uid="{00000000-0005-0000-0000-000064030000}"/>
    <cellStyle name="_기별명세서(견본양식)" xfId="3409" xr:uid="{00000000-0005-0000-0000-000065030000}"/>
    <cellStyle name="_기본설계1" xfId="3410" xr:uid="{00000000-0005-0000-0000-000066030000}"/>
    <cellStyle name="_기존+신규추가소프트웨어" xfId="3411" xr:uid="{00000000-0005-0000-0000-000067030000}"/>
    <cellStyle name="_기초공사" xfId="3412" xr:uid="{00000000-0005-0000-0000-000068030000}"/>
    <cellStyle name="_기초공사일위대가(최종)" xfId="112" xr:uid="{00000000-0005-0000-0000-000069030000}"/>
    <cellStyle name="_기타경비" xfId="3413" xr:uid="{00000000-0005-0000-0000-00006A030000}"/>
    <cellStyle name="_김천동부초교사증축(4)" xfId="113" xr:uid="{00000000-0005-0000-0000-00006B030000}"/>
    <cellStyle name="_김포ER(세종)" xfId="114" xr:uid="{00000000-0005-0000-0000-00006C030000}"/>
    <cellStyle name="_나노엔텍(임금)" xfId="3414" xr:uid="{00000000-0005-0000-0000-00006D030000}"/>
    <cellStyle name="_난계국악당일위대가" xfId="3415" xr:uid="{00000000-0005-0000-0000-00006E030000}"/>
    <cellStyle name="_난계국악당일위대가_1" xfId="3416" xr:uid="{00000000-0005-0000-0000-00006F030000}"/>
    <cellStyle name="_난계국악당일위대가_2" xfId="3417" xr:uid="{00000000-0005-0000-0000-000070030000}"/>
    <cellStyle name="_남양-팔탄(+0%)" xfId="3418" xr:uid="{00000000-0005-0000-0000-000071030000}"/>
    <cellStyle name="_남양-팔탄(+0%)_(가)실행" xfId="3419" xr:uid="{00000000-0005-0000-0000-000072030000}"/>
    <cellStyle name="_남양-팔탄(+0%)_(가)실행_(가)실행" xfId="3420" xr:uid="{00000000-0005-0000-0000-000073030000}"/>
    <cellStyle name="_남양-팔탄(+0%)_(가)실행_(가)실행2" xfId="3421" xr:uid="{00000000-0005-0000-0000-000074030000}"/>
    <cellStyle name="_남양-팔탄(+0%)_(가)실행_중동성황(가)실행" xfId="3422" xr:uid="{00000000-0005-0000-0000-000075030000}"/>
    <cellStyle name="_남양-팔탄(+0%)_가실행(공설운동장)" xfId="3423" xr:uid="{00000000-0005-0000-0000-000076030000}"/>
    <cellStyle name="_남양-팔탄(+0%)_가실행(공설운동장)_(가)실행" xfId="3424" xr:uid="{00000000-0005-0000-0000-000077030000}"/>
    <cellStyle name="_남양-팔탄(+0%)_가실행(공설운동장)_(가)실행2" xfId="3425" xr:uid="{00000000-0005-0000-0000-000078030000}"/>
    <cellStyle name="_남양-팔탄(+0%)_가실행(공설운동장)_중동성황(가)실행" xfId="3426" xr:uid="{00000000-0005-0000-0000-000079030000}"/>
    <cellStyle name="_남양-팔탄(+0%)_가실행(송탄IC)" xfId="3427" xr:uid="{00000000-0005-0000-0000-00007A030000}"/>
    <cellStyle name="_남양-팔탄(+0%)_가실행(송탄IC)_(가)실행" xfId="3428" xr:uid="{00000000-0005-0000-0000-00007B030000}"/>
    <cellStyle name="_남양-팔탄(+0%)_가실행(송탄IC)_(가)실행2" xfId="3429" xr:uid="{00000000-0005-0000-0000-00007C030000}"/>
    <cellStyle name="_남양-팔탄(+0%)_가실행(송탄IC)_중동성황(가)실행" xfId="3430" xr:uid="{00000000-0005-0000-0000-00007D030000}"/>
    <cellStyle name="_남양-팔탄(+0%)_중동성황(가)실행" xfId="3431" xr:uid="{00000000-0005-0000-0000-00007E030000}"/>
    <cellStyle name="_남양-팔탄(+0%)_중동성황(가)실행_(가)실행" xfId="3432" xr:uid="{00000000-0005-0000-0000-00007F030000}"/>
    <cellStyle name="_남양-팔탄(+0%)_중동성황(가)실행_(가)실행2" xfId="3433" xr:uid="{00000000-0005-0000-0000-000080030000}"/>
    <cellStyle name="_남양-팔탄(+0%)_중동성황(가)실행_중동성황(가)실행" xfId="3434" xr:uid="{00000000-0005-0000-0000-000081030000}"/>
    <cellStyle name="_남양-팔탄(+0%)_중동-성황투찰(new)(발주자변경)" xfId="3435" xr:uid="{00000000-0005-0000-0000-000082030000}"/>
    <cellStyle name="_남양-팔탄(+0%)_중동-성황투찰(new)(발주자변경)_(가)실행" xfId="3436" xr:uid="{00000000-0005-0000-0000-000083030000}"/>
    <cellStyle name="_남양-팔탄(+0%)_중동-성황투찰(new)(발주자변경)_(가)실행2" xfId="3437" xr:uid="{00000000-0005-0000-0000-000084030000}"/>
    <cellStyle name="_남양-팔탄(+0%)_중동-성황투찰(new)(발주자변경)_중동성황(가)실행" xfId="3438" xr:uid="{00000000-0005-0000-0000-000085030000}"/>
    <cellStyle name="_남양-팔탄(+0%)_토공및구조물" xfId="3439" xr:uid="{00000000-0005-0000-0000-000086030000}"/>
    <cellStyle name="_남양-팔탄(+0%)_토공및구조물_(가)실행" xfId="3440" xr:uid="{00000000-0005-0000-0000-000087030000}"/>
    <cellStyle name="_남양-팔탄(+0%)_토공및구조물_(가)실행2" xfId="3441" xr:uid="{00000000-0005-0000-0000-000088030000}"/>
    <cellStyle name="_남양-팔탄(+0%)_토공및구조물_중동성황(가)실행" xfId="3442" xr:uid="{00000000-0005-0000-0000-000089030000}"/>
    <cellStyle name="_남양-팔탄(공무)" xfId="3443" xr:uid="{00000000-0005-0000-0000-00008A030000}"/>
    <cellStyle name="_남양-팔탄(공무)_(가)실행" xfId="3444" xr:uid="{00000000-0005-0000-0000-00008B030000}"/>
    <cellStyle name="_남양-팔탄(공무)_(가)실행2" xfId="3445" xr:uid="{00000000-0005-0000-0000-00008C030000}"/>
    <cellStyle name="_남양-팔탄(공무)_중동성황(가)실행" xfId="3446" xr:uid="{00000000-0005-0000-0000-00008D030000}"/>
    <cellStyle name="_남원국악2층-전기공사" xfId="3447" xr:uid="{00000000-0005-0000-0000-00008E030000}"/>
    <cellStyle name="_남원국악2층-전기공사-수정" xfId="3448" xr:uid="{00000000-0005-0000-0000-00008F030000}"/>
    <cellStyle name="_내역" xfId="3449" xr:uid="{00000000-0005-0000-0000-000090030000}"/>
    <cellStyle name="_내역(991895-7)" xfId="115" xr:uid="{00000000-0005-0000-0000-000091030000}"/>
    <cellStyle name="_내역(991895-7)-01" xfId="116" xr:uid="{00000000-0005-0000-0000-000092030000}"/>
    <cellStyle name="_내역(991895-7)-12-3일작업" xfId="117" xr:uid="{00000000-0005-0000-0000-000093030000}"/>
    <cellStyle name="_내역(AV)" xfId="3450" xr:uid="{00000000-0005-0000-0000-000094030000}"/>
    <cellStyle name="_내역-1" xfId="3451" xr:uid="{00000000-0005-0000-0000-000095030000}"/>
    <cellStyle name="_내역서" xfId="118" xr:uid="{00000000-0005-0000-0000-000096030000}"/>
    <cellStyle name="_내역서(밀양시)" xfId="3452" xr:uid="{00000000-0005-0000-0000-000097030000}"/>
    <cellStyle name="_내역서(서남권)" xfId="3453" xr:uid="{00000000-0005-0000-0000-000098030000}"/>
    <cellStyle name="_내역서(전광판)-1" xfId="3454" xr:uid="{00000000-0005-0000-0000-000099030000}"/>
    <cellStyle name="_내역서(전기,소방)080116(7,8,9층)" xfId="119" xr:uid="{00000000-0005-0000-0000-00009A030000}"/>
    <cellStyle name="_내역서(조명기구)" xfId="3455" xr:uid="{00000000-0005-0000-0000-00009B030000}"/>
    <cellStyle name="_내역서,공량(동산병원)" xfId="120" xr:uid="{00000000-0005-0000-0000-00009C030000}"/>
    <cellStyle name="_내역서,공량(어린이회관)-1" xfId="121" xr:uid="{00000000-0005-0000-0000-00009D030000}"/>
    <cellStyle name="_내역서_1" xfId="3456" xr:uid="{00000000-0005-0000-0000-00009E030000}"/>
    <cellStyle name="_내역서_1. 전시시설물_지역홍보관" xfId="3457" xr:uid="{00000000-0005-0000-0000-00009F030000}"/>
    <cellStyle name="_내역서_ALD SYSTEM" xfId="3462" xr:uid="{00000000-0005-0000-0000-0000A0030000}"/>
    <cellStyle name="_내역서_가로등주" xfId="3458" xr:uid="{00000000-0005-0000-0000-0000A1030000}"/>
    <cellStyle name="_내역서_내역서" xfId="3459" xr:uid="{00000000-0005-0000-0000-0000A2030000}"/>
    <cellStyle name="_내역서_승강기 및 CRT 감시반(0416)" xfId="3460" xr:uid="{00000000-0005-0000-0000-0000A3030000}"/>
    <cellStyle name="_내역서_일위대가표 " xfId="3461" xr:uid="{00000000-0005-0000-0000-0000A4030000}"/>
    <cellStyle name="_내역서+개요(월배통신)" xfId="122" xr:uid="{00000000-0005-0000-0000-0000A5030000}"/>
    <cellStyle name="_내역서+개요(전기)-6.7(최종)" xfId="123" xr:uid="{00000000-0005-0000-0000-0000A6030000}"/>
    <cellStyle name="_내역서+개요(통신)" xfId="124" xr:uid="{00000000-0005-0000-0000-0000A7030000}"/>
    <cellStyle name="_내역서1작업" xfId="3463" xr:uid="{00000000-0005-0000-0000-0000A8030000}"/>
    <cellStyle name="_내역서및산출근거(변경전안양지청)" xfId="3464" xr:uid="{00000000-0005-0000-0000-0000A9030000}"/>
    <cellStyle name="_내역서및설계서" xfId="125" xr:uid="{00000000-0005-0000-0000-0000AA030000}"/>
    <cellStyle name="_내연산(토목)" xfId="3465" xr:uid="{00000000-0005-0000-0000-0000AB030000}"/>
    <cellStyle name="_노천1지구1공구" xfId="3466" xr:uid="{00000000-0005-0000-0000-0000AC030000}"/>
    <cellStyle name="_노천1지구2공구" xfId="3467" xr:uid="{00000000-0005-0000-0000-0000AD030000}"/>
    <cellStyle name="_노천1지구2공구_사본 - 하마2교-수량" xfId="3468" xr:uid="{00000000-0005-0000-0000-0000AE030000}"/>
    <cellStyle name="_노천1지구2공구_사본 - 하마2교-수량_토공량" xfId="3469" xr:uid="{00000000-0005-0000-0000-0000AF030000}"/>
    <cellStyle name="_노천1지구2공구_토공량" xfId="3470" xr:uid="{00000000-0005-0000-0000-0000B0030000}"/>
    <cellStyle name="_노천1지구2공구_하마1교-수량" xfId="3471" xr:uid="{00000000-0005-0000-0000-0000B1030000}"/>
    <cellStyle name="_노천1지구2공구_하마1교-수량_토공량" xfId="3472" xr:uid="{00000000-0005-0000-0000-0000B2030000}"/>
    <cellStyle name="_노천1지구2공구_하마2교-수량" xfId="3473" xr:uid="{00000000-0005-0000-0000-0000B3030000}"/>
    <cellStyle name="_노천1지구2공구_하마2교-수량_토공량" xfId="3474" xr:uid="{00000000-0005-0000-0000-0000B4030000}"/>
    <cellStyle name="_노천1지구2공구_하마읍3교대" xfId="3475" xr:uid="{00000000-0005-0000-0000-0000B5030000}"/>
    <cellStyle name="_노천1지구2공구_하마읍3교대_토공량" xfId="3476" xr:uid="{00000000-0005-0000-0000-0000B6030000}"/>
    <cellStyle name="_노천1지구2공구_하마읍3교토공" xfId="3477" xr:uid="{00000000-0005-0000-0000-0000B7030000}"/>
    <cellStyle name="_노천1지구2공구_하마읍3교토공_토공량" xfId="3478" xr:uid="{00000000-0005-0000-0000-0000B8030000}"/>
    <cellStyle name="_노천3지구3공구" xfId="3479" xr:uid="{00000000-0005-0000-0000-0000B9030000}"/>
    <cellStyle name="_노후창호개체공사" xfId="126" xr:uid="{00000000-0005-0000-0000-0000BA030000}"/>
    <cellStyle name="_논공남리내역서" xfId="127" xr:uid="{00000000-0005-0000-0000-0000BB030000}"/>
    <cellStyle name="_농소투찰(32152)" xfId="128" xr:uid="{00000000-0005-0000-0000-0000BC030000}"/>
    <cellStyle name="_농소투찰(32152)_예정공정표" xfId="129" xr:uid="{00000000-0005-0000-0000-0000BD030000}"/>
    <cellStyle name="_농소투찰(32152)_왜관-태평건설" xfId="130" xr:uid="{00000000-0005-0000-0000-0000BE030000}"/>
    <cellStyle name="_농소투찰(32152)_왜관-태평건설_예정공정표" xfId="131" xr:uid="{00000000-0005-0000-0000-0000BF030000}"/>
    <cellStyle name="_농수로3종외-최종" xfId="3480" xr:uid="{00000000-0005-0000-0000-0000C0030000}"/>
    <cellStyle name="_다목적강당(2.1)" xfId="132" xr:uid="{00000000-0005-0000-0000-0000C1030000}"/>
    <cellStyle name="_다사초보험료정산서" xfId="133" xr:uid="{00000000-0005-0000-0000-0000C2030000}"/>
    <cellStyle name="_다산2지방산업단지(신호등)" xfId="134" xr:uid="{00000000-0005-0000-0000-0000C3030000}"/>
    <cellStyle name="_단가 산출조서" xfId="3481" xr:uid="{00000000-0005-0000-0000-0000C4030000}"/>
    <cellStyle name="_단가,제조노임업데이트(2006.1)" xfId="3482" xr:uid="{00000000-0005-0000-0000-0000C5030000}"/>
    <cellStyle name="_단가대비(8월)" xfId="135" xr:uid="{00000000-0005-0000-0000-0000C6030000}"/>
    <cellStyle name="_단가비교" xfId="3483" xr:uid="{00000000-0005-0000-0000-0000C7030000}"/>
    <cellStyle name="_단가산출서(합)" xfId="3484" xr:uid="{00000000-0005-0000-0000-0000C8030000}"/>
    <cellStyle name="_단가표" xfId="3485" xr:uid="{00000000-0005-0000-0000-0000C9030000}"/>
    <cellStyle name="_단양내역서" xfId="136" xr:uid="{00000000-0005-0000-0000-0000CA030000}"/>
    <cellStyle name="_달산대학用" xfId="3486" xr:uid="{00000000-0005-0000-0000-0000CB030000}"/>
    <cellStyle name="_달성군 청소녕 수련관 신축공사(일상감사후전체분)" xfId="137" xr:uid="{00000000-0005-0000-0000-0000CC030000}"/>
    <cellStyle name="_달성군청소년(전기)-1-최종" xfId="138" xr:uid="{00000000-0005-0000-0000-0000CD030000}"/>
    <cellStyle name="_당진대전7부대품의" xfId="3487" xr:uid="{00000000-0005-0000-0000-0000CE030000}"/>
    <cellStyle name="_당진대전7부대품의_6월기성" xfId="3488" xr:uid="{00000000-0005-0000-0000-0000CF030000}"/>
    <cellStyle name="_당진대전7부대품의_6월기성_원등수량" xfId="3489" xr:uid="{00000000-0005-0000-0000-0000D0030000}"/>
    <cellStyle name="_당진대전7부대품의_원등수량" xfId="3490" xr:uid="{00000000-0005-0000-0000-0000D1030000}"/>
    <cellStyle name="_대갑견적" xfId="3491" xr:uid="{00000000-0005-0000-0000-0000D2030000}"/>
    <cellStyle name="_대갑견적1" xfId="3492" xr:uid="{00000000-0005-0000-0000-0000D3030000}"/>
    <cellStyle name="_대곡이설(투찰)" xfId="139" xr:uid="{00000000-0005-0000-0000-0000D4030000}"/>
    <cellStyle name="_대곡이설(투찰)_1" xfId="140" xr:uid="{00000000-0005-0000-0000-0000D5030000}"/>
    <cellStyle name="_대곡이설(투찰)_1_경찰서-터미널간도로(투찰)②" xfId="141" xr:uid="{00000000-0005-0000-0000-0000D6030000}"/>
    <cellStyle name="_대곡이설(투찰)_1_경찰서-터미널간도로(투찰)②_마현생창(동양고속)" xfId="142" xr:uid="{00000000-0005-0000-0000-0000D7030000}"/>
    <cellStyle name="_대곡이설(투찰)_1_경찰서-터미널간도로(투찰)②_마현생창(동양고속)_예정공정표" xfId="143" xr:uid="{00000000-0005-0000-0000-0000D8030000}"/>
    <cellStyle name="_대곡이설(투찰)_1_경찰서-터미널간도로(투찰)②_마현생창(동양고속)_왜관-태평건설" xfId="144" xr:uid="{00000000-0005-0000-0000-0000D9030000}"/>
    <cellStyle name="_대곡이설(투찰)_1_경찰서-터미널간도로(투찰)②_마현생창(동양고속)_왜관-태평건설_예정공정표" xfId="145" xr:uid="{00000000-0005-0000-0000-0000DA030000}"/>
    <cellStyle name="_대곡이설(투찰)_1_경찰서-터미널간도로(투찰)②_예정공정표" xfId="146" xr:uid="{00000000-0005-0000-0000-0000DB030000}"/>
    <cellStyle name="_대곡이설(투찰)_1_경찰서-터미널간도로(투찰)②_왜관-태평건설" xfId="147" xr:uid="{00000000-0005-0000-0000-0000DC030000}"/>
    <cellStyle name="_대곡이설(투찰)_1_경찰서-터미널간도로(투찰)②_왜관-태평건설_예정공정표" xfId="148" xr:uid="{00000000-0005-0000-0000-0000DD030000}"/>
    <cellStyle name="_대곡이설(투찰)_1_마현생창(동양고속)" xfId="149" xr:uid="{00000000-0005-0000-0000-0000DE030000}"/>
    <cellStyle name="_대곡이설(투찰)_1_마현생창(동양고속)_예정공정표" xfId="150" xr:uid="{00000000-0005-0000-0000-0000DF030000}"/>
    <cellStyle name="_대곡이설(투찰)_1_마현생창(동양고속)_왜관-태평건설" xfId="151" xr:uid="{00000000-0005-0000-0000-0000E0030000}"/>
    <cellStyle name="_대곡이설(투찰)_1_마현생창(동양고속)_왜관-태평건설_예정공정표" xfId="152" xr:uid="{00000000-0005-0000-0000-0000E1030000}"/>
    <cellStyle name="_대곡이설(투찰)_1_봉무지방산업단지도로(투찰)②" xfId="153" xr:uid="{00000000-0005-0000-0000-0000E2030000}"/>
    <cellStyle name="_대곡이설(투찰)_1_봉무지방산업단지도로(투찰)②_마현생창(동양고속)" xfId="154" xr:uid="{00000000-0005-0000-0000-0000E3030000}"/>
    <cellStyle name="_대곡이설(투찰)_1_봉무지방산업단지도로(투찰)②_마현생창(동양고속)_예정공정표" xfId="155" xr:uid="{00000000-0005-0000-0000-0000E4030000}"/>
    <cellStyle name="_대곡이설(투찰)_1_봉무지방산업단지도로(투찰)②_마현생창(동양고속)_왜관-태평건설" xfId="156" xr:uid="{00000000-0005-0000-0000-0000E5030000}"/>
    <cellStyle name="_대곡이설(투찰)_1_봉무지방산업단지도로(투찰)②_마현생창(동양고속)_왜관-태평건설_예정공정표" xfId="157" xr:uid="{00000000-0005-0000-0000-0000E6030000}"/>
    <cellStyle name="_대곡이설(투찰)_1_봉무지방산업단지도로(투찰)②_예정공정표" xfId="158" xr:uid="{00000000-0005-0000-0000-0000E7030000}"/>
    <cellStyle name="_대곡이설(투찰)_1_봉무지방산업단지도로(투찰)②_왜관-태평건설" xfId="159" xr:uid="{00000000-0005-0000-0000-0000E8030000}"/>
    <cellStyle name="_대곡이설(투찰)_1_봉무지방산업단지도로(투찰)②_왜관-태평건설_예정공정표" xfId="160" xr:uid="{00000000-0005-0000-0000-0000E9030000}"/>
    <cellStyle name="_대곡이설(투찰)_1_봉무지방산업단지도로(투찰)②+0.250%" xfId="161" xr:uid="{00000000-0005-0000-0000-0000EA030000}"/>
    <cellStyle name="_대곡이설(투찰)_1_봉무지방산업단지도로(투찰)②+0.250%_마현생창(동양고속)" xfId="162" xr:uid="{00000000-0005-0000-0000-0000EB030000}"/>
    <cellStyle name="_대곡이설(투찰)_1_봉무지방산업단지도로(투찰)②+0.250%_마현생창(동양고속)_예정공정표" xfId="163" xr:uid="{00000000-0005-0000-0000-0000EC030000}"/>
    <cellStyle name="_대곡이설(투찰)_1_봉무지방산업단지도로(투찰)②+0.250%_마현생창(동양고속)_왜관-태평건설" xfId="164" xr:uid="{00000000-0005-0000-0000-0000ED030000}"/>
    <cellStyle name="_대곡이설(투찰)_1_봉무지방산업단지도로(투찰)②+0.250%_마현생창(동양고속)_왜관-태평건설_예정공정표" xfId="165" xr:uid="{00000000-0005-0000-0000-0000EE030000}"/>
    <cellStyle name="_대곡이설(투찰)_1_봉무지방산업단지도로(투찰)②+0.250%_예정공정표" xfId="166" xr:uid="{00000000-0005-0000-0000-0000EF030000}"/>
    <cellStyle name="_대곡이설(투찰)_1_봉무지방산업단지도로(투찰)②+0.250%_왜관-태평건설" xfId="167" xr:uid="{00000000-0005-0000-0000-0000F0030000}"/>
    <cellStyle name="_대곡이설(투찰)_1_봉무지방산업단지도로(투찰)②+0.250%_왜관-태평건설_예정공정표" xfId="168" xr:uid="{00000000-0005-0000-0000-0000F1030000}"/>
    <cellStyle name="_대곡이설(투찰)_1_예정공정표" xfId="169" xr:uid="{00000000-0005-0000-0000-0000F2030000}"/>
    <cellStyle name="_대곡이설(투찰)_1_왜관-태평건설" xfId="170" xr:uid="{00000000-0005-0000-0000-0000F3030000}"/>
    <cellStyle name="_대곡이설(투찰)_1_왜관-태평건설_예정공정표" xfId="171" xr:uid="{00000000-0005-0000-0000-0000F4030000}"/>
    <cellStyle name="_대곡이설(투찰)_1_합덕-신례원(2공구)투찰" xfId="172" xr:uid="{00000000-0005-0000-0000-0000F5030000}"/>
    <cellStyle name="_대곡이설(투찰)_1_합덕-신례원(2공구)투찰_경찰서-터미널간도로(투찰)②" xfId="173" xr:uid="{00000000-0005-0000-0000-0000F6030000}"/>
    <cellStyle name="_대곡이설(투찰)_1_합덕-신례원(2공구)투찰_경찰서-터미널간도로(투찰)②_마현생창(동양고속)" xfId="174" xr:uid="{00000000-0005-0000-0000-0000F7030000}"/>
    <cellStyle name="_대곡이설(투찰)_1_합덕-신례원(2공구)투찰_경찰서-터미널간도로(투찰)②_마현생창(동양고속)_예정공정표" xfId="175" xr:uid="{00000000-0005-0000-0000-0000F8030000}"/>
    <cellStyle name="_대곡이설(투찰)_1_합덕-신례원(2공구)투찰_경찰서-터미널간도로(투찰)②_마현생창(동양고속)_왜관-태평건설" xfId="176" xr:uid="{00000000-0005-0000-0000-0000F9030000}"/>
    <cellStyle name="_대곡이설(투찰)_1_합덕-신례원(2공구)투찰_경찰서-터미널간도로(투찰)②_마현생창(동양고속)_왜관-태평건설_예정공정표" xfId="177" xr:uid="{00000000-0005-0000-0000-0000FA030000}"/>
    <cellStyle name="_대곡이설(투찰)_1_합덕-신례원(2공구)투찰_경찰서-터미널간도로(투찰)②_예정공정표" xfId="178" xr:uid="{00000000-0005-0000-0000-0000FB030000}"/>
    <cellStyle name="_대곡이설(투찰)_1_합덕-신례원(2공구)투찰_경찰서-터미널간도로(투찰)②_왜관-태평건설" xfId="179" xr:uid="{00000000-0005-0000-0000-0000FC030000}"/>
    <cellStyle name="_대곡이설(투찰)_1_합덕-신례원(2공구)투찰_경찰서-터미널간도로(투찰)②_왜관-태평건설_예정공정표" xfId="180" xr:uid="{00000000-0005-0000-0000-0000FD030000}"/>
    <cellStyle name="_대곡이설(투찰)_1_합덕-신례원(2공구)투찰_마현생창(동양고속)" xfId="181" xr:uid="{00000000-0005-0000-0000-0000FE030000}"/>
    <cellStyle name="_대곡이설(투찰)_1_합덕-신례원(2공구)투찰_마현생창(동양고속)_예정공정표" xfId="182" xr:uid="{00000000-0005-0000-0000-0000FF030000}"/>
    <cellStyle name="_대곡이설(투찰)_1_합덕-신례원(2공구)투찰_마현생창(동양고속)_왜관-태평건설" xfId="183" xr:uid="{00000000-0005-0000-0000-000000040000}"/>
    <cellStyle name="_대곡이설(투찰)_1_합덕-신례원(2공구)투찰_마현생창(동양고속)_왜관-태평건설_예정공정표" xfId="184" xr:uid="{00000000-0005-0000-0000-000001040000}"/>
    <cellStyle name="_대곡이설(투찰)_1_합덕-신례원(2공구)투찰_봉무지방산업단지도로(투찰)②" xfId="185" xr:uid="{00000000-0005-0000-0000-000002040000}"/>
    <cellStyle name="_대곡이설(투찰)_1_합덕-신례원(2공구)투찰_봉무지방산업단지도로(투찰)②_마현생창(동양고속)" xfId="186" xr:uid="{00000000-0005-0000-0000-000003040000}"/>
    <cellStyle name="_대곡이설(투찰)_1_합덕-신례원(2공구)투찰_봉무지방산업단지도로(투찰)②_마현생창(동양고속)_예정공정표" xfId="187" xr:uid="{00000000-0005-0000-0000-000004040000}"/>
    <cellStyle name="_대곡이설(투찰)_1_합덕-신례원(2공구)투찰_봉무지방산업단지도로(투찰)②_마현생창(동양고속)_왜관-태평건설" xfId="188" xr:uid="{00000000-0005-0000-0000-000005040000}"/>
    <cellStyle name="_대곡이설(투찰)_1_합덕-신례원(2공구)투찰_봉무지방산업단지도로(투찰)②_마현생창(동양고속)_왜관-태평건설_예정공정표" xfId="189" xr:uid="{00000000-0005-0000-0000-000006040000}"/>
    <cellStyle name="_대곡이설(투찰)_1_합덕-신례원(2공구)투찰_봉무지방산업단지도로(투찰)②_예정공정표" xfId="190" xr:uid="{00000000-0005-0000-0000-000007040000}"/>
    <cellStyle name="_대곡이설(투찰)_1_합덕-신례원(2공구)투찰_봉무지방산업단지도로(투찰)②_왜관-태평건설" xfId="191" xr:uid="{00000000-0005-0000-0000-000008040000}"/>
    <cellStyle name="_대곡이설(투찰)_1_합덕-신례원(2공구)투찰_봉무지방산업단지도로(투찰)②_왜관-태평건설_예정공정표" xfId="192" xr:uid="{00000000-0005-0000-0000-000009040000}"/>
    <cellStyle name="_대곡이설(투찰)_1_합덕-신례원(2공구)투찰_봉무지방산업단지도로(투찰)②+0.250%" xfId="193" xr:uid="{00000000-0005-0000-0000-00000A040000}"/>
    <cellStyle name="_대곡이설(투찰)_1_합덕-신례원(2공구)투찰_봉무지방산업단지도로(투찰)②+0.250%_마현생창(동양고속)" xfId="194" xr:uid="{00000000-0005-0000-0000-00000B040000}"/>
    <cellStyle name="_대곡이설(투찰)_1_합덕-신례원(2공구)투찰_봉무지방산업단지도로(투찰)②+0.250%_마현생창(동양고속)_예정공정표" xfId="195" xr:uid="{00000000-0005-0000-0000-00000C040000}"/>
    <cellStyle name="_대곡이설(투찰)_1_합덕-신례원(2공구)투찰_봉무지방산업단지도로(투찰)②+0.250%_마현생창(동양고속)_왜관-태평건설" xfId="196" xr:uid="{00000000-0005-0000-0000-00000D040000}"/>
    <cellStyle name="_대곡이설(투찰)_1_합덕-신례원(2공구)투찰_봉무지방산업단지도로(투찰)②+0.250%_마현생창(동양고속)_왜관-태평건설_예정공정표" xfId="197" xr:uid="{00000000-0005-0000-0000-00000E040000}"/>
    <cellStyle name="_대곡이설(투찰)_1_합덕-신례원(2공구)투찰_봉무지방산업단지도로(투찰)②+0.250%_예정공정표" xfId="198" xr:uid="{00000000-0005-0000-0000-00000F040000}"/>
    <cellStyle name="_대곡이설(투찰)_1_합덕-신례원(2공구)투찰_봉무지방산업단지도로(투찰)②+0.250%_왜관-태평건설" xfId="199" xr:uid="{00000000-0005-0000-0000-000010040000}"/>
    <cellStyle name="_대곡이설(투찰)_1_합덕-신례원(2공구)투찰_봉무지방산업단지도로(투찰)②+0.250%_왜관-태평건설_예정공정표" xfId="200" xr:uid="{00000000-0005-0000-0000-000011040000}"/>
    <cellStyle name="_대곡이설(투찰)_1_합덕-신례원(2공구)투찰_예정공정표" xfId="201" xr:uid="{00000000-0005-0000-0000-000012040000}"/>
    <cellStyle name="_대곡이설(투찰)_1_합덕-신례원(2공구)투찰_왜관-태평건설" xfId="202" xr:uid="{00000000-0005-0000-0000-000013040000}"/>
    <cellStyle name="_대곡이설(투찰)_1_합덕-신례원(2공구)투찰_왜관-태평건설_예정공정표" xfId="203" xr:uid="{00000000-0005-0000-0000-000014040000}"/>
    <cellStyle name="_대곡이설(투찰)_1_합덕-신례원(2공구)투찰_합덕-신례원(2공구)투찰" xfId="204" xr:uid="{00000000-0005-0000-0000-000015040000}"/>
    <cellStyle name="_대곡이설(투찰)_1_합덕-신례원(2공구)투찰_합덕-신례원(2공구)투찰_경찰서-터미널간도로(투찰)②" xfId="205" xr:uid="{00000000-0005-0000-0000-000016040000}"/>
    <cellStyle name="_대곡이설(투찰)_1_합덕-신례원(2공구)투찰_합덕-신례원(2공구)투찰_경찰서-터미널간도로(투찰)②_마현생창(동양고속)" xfId="206" xr:uid="{00000000-0005-0000-0000-000017040000}"/>
    <cellStyle name="_대곡이설(투찰)_1_합덕-신례원(2공구)투찰_합덕-신례원(2공구)투찰_경찰서-터미널간도로(투찰)②_마현생창(동양고속)_예정공정표" xfId="207" xr:uid="{00000000-0005-0000-0000-000018040000}"/>
    <cellStyle name="_대곡이설(투찰)_1_합덕-신례원(2공구)투찰_합덕-신례원(2공구)투찰_경찰서-터미널간도로(투찰)②_마현생창(동양고속)_왜관-태평건설" xfId="208" xr:uid="{00000000-0005-0000-0000-000019040000}"/>
    <cellStyle name="_대곡이설(투찰)_1_합덕-신례원(2공구)투찰_합덕-신례원(2공구)투찰_경찰서-터미널간도로(투찰)②_마현생창(동양고속)_왜관-태평건설_예정공정표" xfId="209" xr:uid="{00000000-0005-0000-0000-00001A040000}"/>
    <cellStyle name="_대곡이설(투찰)_1_합덕-신례원(2공구)투찰_합덕-신례원(2공구)투찰_경찰서-터미널간도로(투찰)②_예정공정표" xfId="210" xr:uid="{00000000-0005-0000-0000-00001B040000}"/>
    <cellStyle name="_대곡이설(투찰)_1_합덕-신례원(2공구)투찰_합덕-신례원(2공구)투찰_경찰서-터미널간도로(투찰)②_왜관-태평건설" xfId="211" xr:uid="{00000000-0005-0000-0000-00001C040000}"/>
    <cellStyle name="_대곡이설(투찰)_1_합덕-신례원(2공구)투찰_합덕-신례원(2공구)투찰_경찰서-터미널간도로(투찰)②_왜관-태평건설_예정공정표" xfId="212" xr:uid="{00000000-0005-0000-0000-00001D040000}"/>
    <cellStyle name="_대곡이설(투찰)_1_합덕-신례원(2공구)투찰_합덕-신례원(2공구)투찰_마현생창(동양고속)" xfId="213" xr:uid="{00000000-0005-0000-0000-00001E040000}"/>
    <cellStyle name="_대곡이설(투찰)_1_합덕-신례원(2공구)투찰_합덕-신례원(2공구)투찰_마현생창(동양고속)_예정공정표" xfId="214" xr:uid="{00000000-0005-0000-0000-00001F040000}"/>
    <cellStyle name="_대곡이설(투찰)_1_합덕-신례원(2공구)투찰_합덕-신례원(2공구)투찰_마현생창(동양고속)_왜관-태평건설" xfId="215" xr:uid="{00000000-0005-0000-0000-000020040000}"/>
    <cellStyle name="_대곡이설(투찰)_1_합덕-신례원(2공구)투찰_합덕-신례원(2공구)투찰_마현생창(동양고속)_왜관-태평건설_예정공정표" xfId="216" xr:uid="{00000000-0005-0000-0000-000021040000}"/>
    <cellStyle name="_대곡이설(투찰)_1_합덕-신례원(2공구)투찰_합덕-신례원(2공구)투찰_봉무지방산업단지도로(투찰)②" xfId="217" xr:uid="{00000000-0005-0000-0000-000022040000}"/>
    <cellStyle name="_대곡이설(투찰)_1_합덕-신례원(2공구)투찰_합덕-신례원(2공구)투찰_봉무지방산업단지도로(투찰)②_마현생창(동양고속)" xfId="218" xr:uid="{00000000-0005-0000-0000-000023040000}"/>
    <cellStyle name="_대곡이설(투찰)_1_합덕-신례원(2공구)투찰_합덕-신례원(2공구)투찰_봉무지방산업단지도로(투찰)②_마현생창(동양고속)_예정공정표" xfId="219" xr:uid="{00000000-0005-0000-0000-000024040000}"/>
    <cellStyle name="_대곡이설(투찰)_1_합덕-신례원(2공구)투찰_합덕-신례원(2공구)투찰_봉무지방산업단지도로(투찰)②_마현생창(동양고속)_왜관-태평건설" xfId="220" xr:uid="{00000000-0005-0000-0000-000025040000}"/>
    <cellStyle name="_대곡이설(투찰)_1_합덕-신례원(2공구)투찰_합덕-신례원(2공구)투찰_봉무지방산업단지도로(투찰)②_마현생창(동양고속)_왜관-태평건설_예정공정표" xfId="221" xr:uid="{00000000-0005-0000-0000-000026040000}"/>
    <cellStyle name="_대곡이설(투찰)_1_합덕-신례원(2공구)투찰_합덕-신례원(2공구)투찰_봉무지방산업단지도로(투찰)②_예정공정표" xfId="222" xr:uid="{00000000-0005-0000-0000-000027040000}"/>
    <cellStyle name="_대곡이설(투찰)_1_합덕-신례원(2공구)투찰_합덕-신례원(2공구)투찰_봉무지방산업단지도로(투찰)②_왜관-태평건설" xfId="223" xr:uid="{00000000-0005-0000-0000-000028040000}"/>
    <cellStyle name="_대곡이설(투찰)_1_합덕-신례원(2공구)투찰_합덕-신례원(2공구)투찰_봉무지방산업단지도로(투찰)②_왜관-태평건설_예정공정표" xfId="224" xr:uid="{00000000-0005-0000-0000-000029040000}"/>
    <cellStyle name="_대곡이설(투찰)_1_합덕-신례원(2공구)투찰_합덕-신례원(2공구)투찰_봉무지방산업단지도로(투찰)②+0.250%" xfId="225" xr:uid="{00000000-0005-0000-0000-00002A040000}"/>
    <cellStyle name="_대곡이설(투찰)_1_합덕-신례원(2공구)투찰_합덕-신례원(2공구)투찰_봉무지방산업단지도로(투찰)②+0.250%_마현생창(동양고속)" xfId="226" xr:uid="{00000000-0005-0000-0000-00002B040000}"/>
    <cellStyle name="_대곡이설(투찰)_1_합덕-신례원(2공구)투찰_합덕-신례원(2공구)투찰_봉무지방산업단지도로(투찰)②+0.250%_마현생창(동양고속)_예정공정표" xfId="227" xr:uid="{00000000-0005-0000-0000-00002C040000}"/>
    <cellStyle name="_대곡이설(투찰)_1_합덕-신례원(2공구)투찰_합덕-신례원(2공구)투찰_봉무지방산업단지도로(투찰)②+0.250%_마현생창(동양고속)_왜관-태평건설" xfId="228" xr:uid="{00000000-0005-0000-0000-00002D040000}"/>
    <cellStyle name="_대곡이설(투찰)_1_합덕-신례원(2공구)투찰_합덕-신례원(2공구)투찰_봉무지방산업단지도로(투찰)②+0.250%_마현생창(동양고속)_왜관-태평건설_예정공정표" xfId="229" xr:uid="{00000000-0005-0000-0000-00002E040000}"/>
    <cellStyle name="_대곡이설(투찰)_1_합덕-신례원(2공구)투찰_합덕-신례원(2공구)투찰_봉무지방산업단지도로(투찰)②+0.250%_예정공정표" xfId="230" xr:uid="{00000000-0005-0000-0000-00002F040000}"/>
    <cellStyle name="_대곡이설(투찰)_1_합덕-신례원(2공구)투찰_합덕-신례원(2공구)투찰_봉무지방산업단지도로(투찰)②+0.250%_왜관-태평건설" xfId="231" xr:uid="{00000000-0005-0000-0000-000030040000}"/>
    <cellStyle name="_대곡이설(투찰)_1_합덕-신례원(2공구)투찰_합덕-신례원(2공구)투찰_봉무지방산업단지도로(투찰)②+0.250%_왜관-태평건설_예정공정표" xfId="232" xr:uid="{00000000-0005-0000-0000-000031040000}"/>
    <cellStyle name="_대곡이설(투찰)_1_합덕-신례원(2공구)투찰_합덕-신례원(2공구)투찰_예정공정표" xfId="233" xr:uid="{00000000-0005-0000-0000-000032040000}"/>
    <cellStyle name="_대곡이설(투찰)_1_합덕-신례원(2공구)투찰_합덕-신례원(2공구)투찰_왜관-태평건설" xfId="234" xr:uid="{00000000-0005-0000-0000-000033040000}"/>
    <cellStyle name="_대곡이설(투찰)_1_합덕-신례원(2공구)투찰_합덕-신례원(2공구)투찰_왜관-태평건설_예정공정표" xfId="235" xr:uid="{00000000-0005-0000-0000-000034040000}"/>
    <cellStyle name="_대곡이설(투찰)_경찰서-터미널간도로(투찰)②" xfId="236" xr:uid="{00000000-0005-0000-0000-000035040000}"/>
    <cellStyle name="_대곡이설(투찰)_경찰서-터미널간도로(투찰)②_마현생창(동양고속)" xfId="237" xr:uid="{00000000-0005-0000-0000-000036040000}"/>
    <cellStyle name="_대곡이설(투찰)_경찰서-터미널간도로(투찰)②_마현생창(동양고속)_예정공정표" xfId="238" xr:uid="{00000000-0005-0000-0000-000037040000}"/>
    <cellStyle name="_대곡이설(투찰)_경찰서-터미널간도로(투찰)②_마현생창(동양고속)_왜관-태평건설" xfId="239" xr:uid="{00000000-0005-0000-0000-000038040000}"/>
    <cellStyle name="_대곡이설(투찰)_경찰서-터미널간도로(투찰)②_마현생창(동양고속)_왜관-태평건설_예정공정표" xfId="240" xr:uid="{00000000-0005-0000-0000-000039040000}"/>
    <cellStyle name="_대곡이설(투찰)_경찰서-터미널간도로(투찰)②_예정공정표" xfId="241" xr:uid="{00000000-0005-0000-0000-00003A040000}"/>
    <cellStyle name="_대곡이설(투찰)_경찰서-터미널간도로(투찰)②_왜관-태평건설" xfId="242" xr:uid="{00000000-0005-0000-0000-00003B040000}"/>
    <cellStyle name="_대곡이설(투찰)_경찰서-터미널간도로(투찰)②_왜관-태평건설_예정공정표" xfId="243" xr:uid="{00000000-0005-0000-0000-00003C040000}"/>
    <cellStyle name="_대곡이설(투찰)_도덕-고흥도로(투찰)" xfId="244" xr:uid="{00000000-0005-0000-0000-00003D040000}"/>
    <cellStyle name="_대곡이설(투찰)_도덕-고흥도로(투찰)_경찰서-터미널간도로(투찰)②" xfId="245" xr:uid="{00000000-0005-0000-0000-00003E040000}"/>
    <cellStyle name="_대곡이설(투찰)_도덕-고흥도로(투찰)_경찰서-터미널간도로(투찰)②_마현생창(동양고속)" xfId="246" xr:uid="{00000000-0005-0000-0000-00003F040000}"/>
    <cellStyle name="_대곡이설(투찰)_도덕-고흥도로(투찰)_경찰서-터미널간도로(투찰)②_마현생창(동양고속)_예정공정표" xfId="247" xr:uid="{00000000-0005-0000-0000-000040040000}"/>
    <cellStyle name="_대곡이설(투찰)_도덕-고흥도로(투찰)_경찰서-터미널간도로(투찰)②_마현생창(동양고속)_왜관-태평건설" xfId="248" xr:uid="{00000000-0005-0000-0000-000041040000}"/>
    <cellStyle name="_대곡이설(투찰)_도덕-고흥도로(투찰)_경찰서-터미널간도로(투찰)②_마현생창(동양고속)_왜관-태평건설_예정공정표" xfId="249" xr:uid="{00000000-0005-0000-0000-000042040000}"/>
    <cellStyle name="_대곡이설(투찰)_도덕-고흥도로(투찰)_경찰서-터미널간도로(투찰)②_예정공정표" xfId="250" xr:uid="{00000000-0005-0000-0000-000043040000}"/>
    <cellStyle name="_대곡이설(투찰)_도덕-고흥도로(투찰)_경찰서-터미널간도로(투찰)②_왜관-태평건설" xfId="251" xr:uid="{00000000-0005-0000-0000-000044040000}"/>
    <cellStyle name="_대곡이설(투찰)_도덕-고흥도로(투찰)_경찰서-터미널간도로(투찰)②_왜관-태평건설_예정공정표" xfId="252" xr:uid="{00000000-0005-0000-0000-000045040000}"/>
    <cellStyle name="_대곡이설(투찰)_도덕-고흥도로(투찰)_마현생창(동양고속)" xfId="253" xr:uid="{00000000-0005-0000-0000-000046040000}"/>
    <cellStyle name="_대곡이설(투찰)_도덕-고흥도로(투찰)_마현생창(동양고속)_예정공정표" xfId="254" xr:uid="{00000000-0005-0000-0000-000047040000}"/>
    <cellStyle name="_대곡이설(투찰)_도덕-고흥도로(투찰)_마현생창(동양고속)_왜관-태평건설" xfId="255" xr:uid="{00000000-0005-0000-0000-000048040000}"/>
    <cellStyle name="_대곡이설(투찰)_도덕-고흥도로(투찰)_마현생창(동양고속)_왜관-태평건설_예정공정표" xfId="256" xr:uid="{00000000-0005-0000-0000-000049040000}"/>
    <cellStyle name="_대곡이설(투찰)_도덕-고흥도로(투찰)_봉무지방산업단지도로(투찰)②" xfId="257" xr:uid="{00000000-0005-0000-0000-00004A040000}"/>
    <cellStyle name="_대곡이설(투찰)_도덕-고흥도로(투찰)_봉무지방산업단지도로(투찰)②_마현생창(동양고속)" xfId="258" xr:uid="{00000000-0005-0000-0000-00004B040000}"/>
    <cellStyle name="_대곡이설(투찰)_도덕-고흥도로(투찰)_봉무지방산업단지도로(투찰)②_마현생창(동양고속)_예정공정표" xfId="259" xr:uid="{00000000-0005-0000-0000-00004C040000}"/>
    <cellStyle name="_대곡이설(투찰)_도덕-고흥도로(투찰)_봉무지방산업단지도로(투찰)②_마현생창(동양고속)_왜관-태평건설" xfId="260" xr:uid="{00000000-0005-0000-0000-00004D040000}"/>
    <cellStyle name="_대곡이설(투찰)_도덕-고흥도로(투찰)_봉무지방산업단지도로(투찰)②_마현생창(동양고속)_왜관-태평건설_예정공정표" xfId="261" xr:uid="{00000000-0005-0000-0000-00004E040000}"/>
    <cellStyle name="_대곡이설(투찰)_도덕-고흥도로(투찰)_봉무지방산업단지도로(투찰)②_예정공정표" xfId="262" xr:uid="{00000000-0005-0000-0000-00004F040000}"/>
    <cellStyle name="_대곡이설(투찰)_도덕-고흥도로(투찰)_봉무지방산업단지도로(투찰)②_왜관-태평건설" xfId="263" xr:uid="{00000000-0005-0000-0000-000050040000}"/>
    <cellStyle name="_대곡이설(투찰)_도덕-고흥도로(투찰)_봉무지방산업단지도로(투찰)②_왜관-태평건설_예정공정표" xfId="264" xr:uid="{00000000-0005-0000-0000-000051040000}"/>
    <cellStyle name="_대곡이설(투찰)_도덕-고흥도로(투찰)_봉무지방산업단지도로(투찰)②+0.250%" xfId="265" xr:uid="{00000000-0005-0000-0000-000052040000}"/>
    <cellStyle name="_대곡이설(투찰)_도덕-고흥도로(투찰)_봉무지방산업단지도로(투찰)②+0.250%_마현생창(동양고속)" xfId="266" xr:uid="{00000000-0005-0000-0000-000053040000}"/>
    <cellStyle name="_대곡이설(투찰)_도덕-고흥도로(투찰)_봉무지방산업단지도로(투찰)②+0.250%_마현생창(동양고속)_예정공정표" xfId="267" xr:uid="{00000000-0005-0000-0000-000054040000}"/>
    <cellStyle name="_대곡이설(투찰)_도덕-고흥도로(투찰)_봉무지방산업단지도로(투찰)②+0.250%_마현생창(동양고속)_왜관-태평건설" xfId="268" xr:uid="{00000000-0005-0000-0000-000055040000}"/>
    <cellStyle name="_대곡이설(투찰)_도덕-고흥도로(투찰)_봉무지방산업단지도로(투찰)②+0.250%_마현생창(동양고속)_왜관-태평건설_예정공정표" xfId="269" xr:uid="{00000000-0005-0000-0000-000056040000}"/>
    <cellStyle name="_대곡이설(투찰)_도덕-고흥도로(투찰)_봉무지방산업단지도로(투찰)②+0.250%_예정공정표" xfId="270" xr:uid="{00000000-0005-0000-0000-000057040000}"/>
    <cellStyle name="_대곡이설(투찰)_도덕-고흥도로(투찰)_봉무지방산업단지도로(투찰)②+0.250%_왜관-태평건설" xfId="271" xr:uid="{00000000-0005-0000-0000-000058040000}"/>
    <cellStyle name="_대곡이설(투찰)_도덕-고흥도로(투찰)_봉무지방산업단지도로(투찰)②+0.250%_왜관-태평건설_예정공정표" xfId="272" xr:uid="{00000000-0005-0000-0000-000059040000}"/>
    <cellStyle name="_대곡이설(투찰)_도덕-고흥도로(투찰)_예정공정표" xfId="273" xr:uid="{00000000-0005-0000-0000-00005A040000}"/>
    <cellStyle name="_대곡이설(투찰)_도덕-고흥도로(투찰)_왜관-태평건설" xfId="274" xr:uid="{00000000-0005-0000-0000-00005B040000}"/>
    <cellStyle name="_대곡이설(투찰)_도덕-고흥도로(투찰)_왜관-태평건설_예정공정표" xfId="275" xr:uid="{00000000-0005-0000-0000-00005C040000}"/>
    <cellStyle name="_대곡이설(투찰)_도덕-고흥도로(투찰)_합덕-신례원(2공구)투찰" xfId="276" xr:uid="{00000000-0005-0000-0000-00005D040000}"/>
    <cellStyle name="_대곡이설(투찰)_도덕-고흥도로(투찰)_합덕-신례원(2공구)투찰_경찰서-터미널간도로(투찰)②" xfId="277" xr:uid="{00000000-0005-0000-0000-00005E040000}"/>
    <cellStyle name="_대곡이설(투찰)_도덕-고흥도로(투찰)_합덕-신례원(2공구)투찰_경찰서-터미널간도로(투찰)②_마현생창(동양고속)" xfId="278" xr:uid="{00000000-0005-0000-0000-00005F040000}"/>
    <cellStyle name="_대곡이설(투찰)_도덕-고흥도로(투찰)_합덕-신례원(2공구)투찰_경찰서-터미널간도로(투찰)②_마현생창(동양고속)_예정공정표" xfId="279" xr:uid="{00000000-0005-0000-0000-000060040000}"/>
    <cellStyle name="_대곡이설(투찰)_도덕-고흥도로(투찰)_합덕-신례원(2공구)투찰_경찰서-터미널간도로(투찰)②_마현생창(동양고속)_왜관-태평건설" xfId="280" xr:uid="{00000000-0005-0000-0000-000061040000}"/>
    <cellStyle name="_대곡이설(투찰)_도덕-고흥도로(투찰)_합덕-신례원(2공구)투찰_경찰서-터미널간도로(투찰)②_마현생창(동양고속)_왜관-태평건설_예정공정표" xfId="281" xr:uid="{00000000-0005-0000-0000-000062040000}"/>
    <cellStyle name="_대곡이설(투찰)_도덕-고흥도로(투찰)_합덕-신례원(2공구)투찰_경찰서-터미널간도로(투찰)②_예정공정표" xfId="282" xr:uid="{00000000-0005-0000-0000-000063040000}"/>
    <cellStyle name="_대곡이설(투찰)_도덕-고흥도로(투찰)_합덕-신례원(2공구)투찰_경찰서-터미널간도로(투찰)②_왜관-태평건설" xfId="283" xr:uid="{00000000-0005-0000-0000-000064040000}"/>
    <cellStyle name="_대곡이설(투찰)_도덕-고흥도로(투찰)_합덕-신례원(2공구)투찰_경찰서-터미널간도로(투찰)②_왜관-태평건설_예정공정표" xfId="284" xr:uid="{00000000-0005-0000-0000-000065040000}"/>
    <cellStyle name="_대곡이설(투찰)_도덕-고흥도로(투찰)_합덕-신례원(2공구)투찰_마현생창(동양고속)" xfId="285" xr:uid="{00000000-0005-0000-0000-000066040000}"/>
    <cellStyle name="_대곡이설(투찰)_도덕-고흥도로(투찰)_합덕-신례원(2공구)투찰_마현생창(동양고속)_예정공정표" xfId="286" xr:uid="{00000000-0005-0000-0000-000067040000}"/>
    <cellStyle name="_대곡이설(투찰)_도덕-고흥도로(투찰)_합덕-신례원(2공구)투찰_마현생창(동양고속)_왜관-태평건설" xfId="287" xr:uid="{00000000-0005-0000-0000-000068040000}"/>
    <cellStyle name="_대곡이설(투찰)_도덕-고흥도로(투찰)_합덕-신례원(2공구)투찰_마현생창(동양고속)_왜관-태평건설_예정공정표" xfId="288" xr:uid="{00000000-0005-0000-0000-000069040000}"/>
    <cellStyle name="_대곡이설(투찰)_도덕-고흥도로(투찰)_합덕-신례원(2공구)투찰_봉무지방산업단지도로(투찰)②" xfId="289" xr:uid="{00000000-0005-0000-0000-00006A040000}"/>
    <cellStyle name="_대곡이설(투찰)_도덕-고흥도로(투찰)_합덕-신례원(2공구)투찰_봉무지방산업단지도로(투찰)②_마현생창(동양고속)" xfId="290" xr:uid="{00000000-0005-0000-0000-00006B040000}"/>
    <cellStyle name="_대곡이설(투찰)_도덕-고흥도로(투찰)_합덕-신례원(2공구)투찰_봉무지방산업단지도로(투찰)②_마현생창(동양고속)_예정공정표" xfId="291" xr:uid="{00000000-0005-0000-0000-00006C040000}"/>
    <cellStyle name="_대곡이설(투찰)_도덕-고흥도로(투찰)_합덕-신례원(2공구)투찰_봉무지방산업단지도로(투찰)②_마현생창(동양고속)_왜관-태평건설" xfId="292" xr:uid="{00000000-0005-0000-0000-00006D040000}"/>
    <cellStyle name="_대곡이설(투찰)_도덕-고흥도로(투찰)_합덕-신례원(2공구)투찰_봉무지방산업단지도로(투찰)②_마현생창(동양고속)_왜관-태평건설_예정공정표" xfId="293" xr:uid="{00000000-0005-0000-0000-00006E040000}"/>
    <cellStyle name="_대곡이설(투찰)_도덕-고흥도로(투찰)_합덕-신례원(2공구)투찰_봉무지방산업단지도로(투찰)②_예정공정표" xfId="294" xr:uid="{00000000-0005-0000-0000-00006F040000}"/>
    <cellStyle name="_대곡이설(투찰)_도덕-고흥도로(투찰)_합덕-신례원(2공구)투찰_봉무지방산업단지도로(투찰)②_왜관-태평건설" xfId="295" xr:uid="{00000000-0005-0000-0000-000070040000}"/>
    <cellStyle name="_대곡이설(투찰)_도덕-고흥도로(투찰)_합덕-신례원(2공구)투찰_봉무지방산업단지도로(투찰)②_왜관-태평건설_예정공정표" xfId="296" xr:uid="{00000000-0005-0000-0000-000071040000}"/>
    <cellStyle name="_대곡이설(투찰)_도덕-고흥도로(투찰)_합덕-신례원(2공구)투찰_봉무지방산업단지도로(투찰)②+0.250%" xfId="297" xr:uid="{00000000-0005-0000-0000-000072040000}"/>
    <cellStyle name="_대곡이설(투찰)_도덕-고흥도로(투찰)_합덕-신례원(2공구)투찰_봉무지방산업단지도로(투찰)②+0.250%_마현생창(동양고속)" xfId="298" xr:uid="{00000000-0005-0000-0000-000073040000}"/>
    <cellStyle name="_대곡이설(투찰)_도덕-고흥도로(투찰)_합덕-신례원(2공구)투찰_봉무지방산업단지도로(투찰)②+0.250%_마현생창(동양고속)_예정공정표" xfId="299" xr:uid="{00000000-0005-0000-0000-000074040000}"/>
    <cellStyle name="_대곡이설(투찰)_도덕-고흥도로(투찰)_합덕-신례원(2공구)투찰_봉무지방산업단지도로(투찰)②+0.250%_마현생창(동양고속)_왜관-태평건설" xfId="300" xr:uid="{00000000-0005-0000-0000-000075040000}"/>
    <cellStyle name="_대곡이설(투찰)_도덕-고흥도로(투찰)_합덕-신례원(2공구)투찰_봉무지방산업단지도로(투찰)②+0.250%_마현생창(동양고속)_왜관-태평건설_예정공정표" xfId="301" xr:uid="{00000000-0005-0000-0000-000076040000}"/>
    <cellStyle name="_대곡이설(투찰)_도덕-고흥도로(투찰)_합덕-신례원(2공구)투찰_봉무지방산업단지도로(투찰)②+0.250%_예정공정표" xfId="302" xr:uid="{00000000-0005-0000-0000-000077040000}"/>
    <cellStyle name="_대곡이설(투찰)_도덕-고흥도로(투찰)_합덕-신례원(2공구)투찰_봉무지방산업단지도로(투찰)②+0.250%_왜관-태평건설" xfId="303" xr:uid="{00000000-0005-0000-0000-000078040000}"/>
    <cellStyle name="_대곡이설(투찰)_도덕-고흥도로(투찰)_합덕-신례원(2공구)투찰_봉무지방산업단지도로(투찰)②+0.250%_왜관-태평건설_예정공정표" xfId="304" xr:uid="{00000000-0005-0000-0000-000079040000}"/>
    <cellStyle name="_대곡이설(투찰)_도덕-고흥도로(투찰)_합덕-신례원(2공구)투찰_예정공정표" xfId="305" xr:uid="{00000000-0005-0000-0000-00007A040000}"/>
    <cellStyle name="_대곡이설(투찰)_도덕-고흥도로(투찰)_합덕-신례원(2공구)투찰_왜관-태평건설" xfId="306" xr:uid="{00000000-0005-0000-0000-00007B040000}"/>
    <cellStyle name="_대곡이설(투찰)_도덕-고흥도로(투찰)_합덕-신례원(2공구)투찰_왜관-태평건설_예정공정표" xfId="307" xr:uid="{00000000-0005-0000-0000-00007C040000}"/>
    <cellStyle name="_대곡이설(투찰)_도덕-고흥도로(투찰)_합덕-신례원(2공구)투찰_합덕-신례원(2공구)투찰" xfId="308" xr:uid="{00000000-0005-0000-0000-00007D040000}"/>
    <cellStyle name="_대곡이설(투찰)_도덕-고흥도로(투찰)_합덕-신례원(2공구)투찰_합덕-신례원(2공구)투찰_경찰서-터미널간도로(투찰)②" xfId="309" xr:uid="{00000000-0005-0000-0000-00007E040000}"/>
    <cellStyle name="_대곡이설(투찰)_도덕-고흥도로(투찰)_합덕-신례원(2공구)투찰_합덕-신례원(2공구)투찰_경찰서-터미널간도로(투찰)②_마현생창(동양고속)" xfId="310" xr:uid="{00000000-0005-0000-0000-00007F040000}"/>
    <cellStyle name="_대곡이설(투찰)_도덕-고흥도로(투찰)_합덕-신례원(2공구)투찰_합덕-신례원(2공구)투찰_경찰서-터미널간도로(투찰)②_마현생창(동양고속)_예정공정표" xfId="311" xr:uid="{00000000-0005-0000-0000-000080040000}"/>
    <cellStyle name="_대곡이설(투찰)_도덕-고흥도로(투찰)_합덕-신례원(2공구)투찰_합덕-신례원(2공구)투찰_경찰서-터미널간도로(투찰)②_마현생창(동양고속)_왜관-태평건설" xfId="312" xr:uid="{00000000-0005-0000-0000-000081040000}"/>
    <cellStyle name="_대곡이설(투찰)_도덕-고흥도로(투찰)_합덕-신례원(2공구)투찰_합덕-신례원(2공구)투찰_경찰서-터미널간도로(투찰)②_마현생창(동양고속)_왜관-태평건설_예정공정표" xfId="313" xr:uid="{00000000-0005-0000-0000-000082040000}"/>
    <cellStyle name="_대곡이설(투찰)_도덕-고흥도로(투찰)_합덕-신례원(2공구)투찰_합덕-신례원(2공구)투찰_경찰서-터미널간도로(투찰)②_예정공정표" xfId="314" xr:uid="{00000000-0005-0000-0000-000083040000}"/>
    <cellStyle name="_대곡이설(투찰)_도덕-고흥도로(투찰)_합덕-신례원(2공구)투찰_합덕-신례원(2공구)투찰_경찰서-터미널간도로(투찰)②_왜관-태평건설" xfId="315" xr:uid="{00000000-0005-0000-0000-000084040000}"/>
    <cellStyle name="_대곡이설(투찰)_도덕-고흥도로(투찰)_합덕-신례원(2공구)투찰_합덕-신례원(2공구)투찰_경찰서-터미널간도로(투찰)②_왜관-태평건설_예정공정표" xfId="316" xr:uid="{00000000-0005-0000-0000-000085040000}"/>
    <cellStyle name="_대곡이설(투찰)_도덕-고흥도로(투찰)_합덕-신례원(2공구)투찰_합덕-신례원(2공구)투찰_마현생창(동양고속)" xfId="317" xr:uid="{00000000-0005-0000-0000-000086040000}"/>
    <cellStyle name="_대곡이설(투찰)_도덕-고흥도로(투찰)_합덕-신례원(2공구)투찰_합덕-신례원(2공구)투찰_마현생창(동양고속)_예정공정표" xfId="318" xr:uid="{00000000-0005-0000-0000-000087040000}"/>
    <cellStyle name="_대곡이설(투찰)_도덕-고흥도로(투찰)_합덕-신례원(2공구)투찰_합덕-신례원(2공구)투찰_마현생창(동양고속)_왜관-태평건설" xfId="319" xr:uid="{00000000-0005-0000-0000-000088040000}"/>
    <cellStyle name="_대곡이설(투찰)_도덕-고흥도로(투찰)_합덕-신례원(2공구)투찰_합덕-신례원(2공구)투찰_마현생창(동양고속)_왜관-태평건설_예정공정표" xfId="320" xr:uid="{00000000-0005-0000-0000-000089040000}"/>
    <cellStyle name="_대곡이설(투찰)_도덕-고흥도로(투찰)_합덕-신례원(2공구)투찰_합덕-신례원(2공구)투찰_봉무지방산업단지도로(투찰)②" xfId="321" xr:uid="{00000000-0005-0000-0000-00008A040000}"/>
    <cellStyle name="_대곡이설(투찰)_도덕-고흥도로(투찰)_합덕-신례원(2공구)투찰_합덕-신례원(2공구)투찰_봉무지방산업단지도로(투찰)②_마현생창(동양고속)" xfId="322" xr:uid="{00000000-0005-0000-0000-00008B040000}"/>
    <cellStyle name="_대곡이설(투찰)_도덕-고흥도로(투찰)_합덕-신례원(2공구)투찰_합덕-신례원(2공구)투찰_봉무지방산업단지도로(투찰)②_마현생창(동양고속)_예정공정표" xfId="323" xr:uid="{00000000-0005-0000-0000-00008C040000}"/>
    <cellStyle name="_대곡이설(투찰)_도덕-고흥도로(투찰)_합덕-신례원(2공구)투찰_합덕-신례원(2공구)투찰_봉무지방산업단지도로(투찰)②_마현생창(동양고속)_왜관-태평건설" xfId="324" xr:uid="{00000000-0005-0000-0000-00008D040000}"/>
    <cellStyle name="_대곡이설(투찰)_도덕-고흥도로(투찰)_합덕-신례원(2공구)투찰_합덕-신례원(2공구)투찰_봉무지방산업단지도로(투찰)②_마현생창(동양고속)_왜관-태평건설_예정공정표" xfId="325" xr:uid="{00000000-0005-0000-0000-00008E040000}"/>
    <cellStyle name="_대곡이설(투찰)_도덕-고흥도로(투찰)_합덕-신례원(2공구)투찰_합덕-신례원(2공구)투찰_봉무지방산업단지도로(투찰)②_예정공정표" xfId="326" xr:uid="{00000000-0005-0000-0000-00008F040000}"/>
    <cellStyle name="_대곡이설(투찰)_도덕-고흥도로(투찰)_합덕-신례원(2공구)투찰_합덕-신례원(2공구)투찰_봉무지방산업단지도로(투찰)②_왜관-태평건설" xfId="327" xr:uid="{00000000-0005-0000-0000-000090040000}"/>
    <cellStyle name="_대곡이설(투찰)_도덕-고흥도로(투찰)_합덕-신례원(2공구)투찰_합덕-신례원(2공구)투찰_봉무지방산업단지도로(투찰)②_왜관-태평건설_예정공정표" xfId="328" xr:uid="{00000000-0005-0000-0000-000091040000}"/>
    <cellStyle name="_대곡이설(투찰)_도덕-고흥도로(투찰)_합덕-신례원(2공구)투찰_합덕-신례원(2공구)투찰_봉무지방산업단지도로(투찰)②+0.250%" xfId="329" xr:uid="{00000000-0005-0000-0000-000092040000}"/>
    <cellStyle name="_대곡이설(투찰)_도덕-고흥도로(투찰)_합덕-신례원(2공구)투찰_합덕-신례원(2공구)투찰_봉무지방산업단지도로(투찰)②+0.250%_마현생창(동양고속)" xfId="330" xr:uid="{00000000-0005-0000-0000-000093040000}"/>
    <cellStyle name="_대곡이설(투찰)_도덕-고흥도로(투찰)_합덕-신례원(2공구)투찰_합덕-신례원(2공구)투찰_봉무지방산업단지도로(투찰)②+0.250%_마현생창(동양고속)_예정공정표" xfId="331" xr:uid="{00000000-0005-0000-0000-000094040000}"/>
    <cellStyle name="_대곡이설(투찰)_도덕-고흥도로(투찰)_합덕-신례원(2공구)투찰_합덕-신례원(2공구)투찰_봉무지방산업단지도로(투찰)②+0.250%_마현생창(동양고속)_왜관-태평건설" xfId="332" xr:uid="{00000000-0005-0000-0000-000095040000}"/>
    <cellStyle name="_대곡이설(투찰)_도덕-고흥도로(투찰)_합덕-신례원(2공구)투찰_합덕-신례원(2공구)투찰_봉무지방산업단지도로(투찰)②+0.250%_마현생창(동양고속)_왜관-태평건설_예정공정표" xfId="333" xr:uid="{00000000-0005-0000-0000-000096040000}"/>
    <cellStyle name="_대곡이설(투찰)_도덕-고흥도로(투찰)_합덕-신례원(2공구)투찰_합덕-신례원(2공구)투찰_봉무지방산업단지도로(투찰)②+0.250%_예정공정표" xfId="334" xr:uid="{00000000-0005-0000-0000-000097040000}"/>
    <cellStyle name="_대곡이설(투찰)_도덕-고흥도로(투찰)_합덕-신례원(2공구)투찰_합덕-신례원(2공구)투찰_봉무지방산업단지도로(투찰)②+0.250%_왜관-태평건설" xfId="335" xr:uid="{00000000-0005-0000-0000-000098040000}"/>
    <cellStyle name="_대곡이설(투찰)_도덕-고흥도로(투찰)_합덕-신례원(2공구)투찰_합덕-신례원(2공구)투찰_봉무지방산업단지도로(투찰)②+0.250%_왜관-태평건설_예정공정표" xfId="336" xr:uid="{00000000-0005-0000-0000-000099040000}"/>
    <cellStyle name="_대곡이설(투찰)_도덕-고흥도로(투찰)_합덕-신례원(2공구)투찰_합덕-신례원(2공구)투찰_예정공정표" xfId="337" xr:uid="{00000000-0005-0000-0000-00009A040000}"/>
    <cellStyle name="_대곡이설(투찰)_도덕-고흥도로(투찰)_합덕-신례원(2공구)투찰_합덕-신례원(2공구)투찰_왜관-태평건설" xfId="338" xr:uid="{00000000-0005-0000-0000-00009B040000}"/>
    <cellStyle name="_대곡이설(투찰)_도덕-고흥도로(투찰)_합덕-신례원(2공구)투찰_합덕-신례원(2공구)투찰_왜관-태평건설_예정공정표" xfId="339" xr:uid="{00000000-0005-0000-0000-00009C040000}"/>
    <cellStyle name="_대곡이설(투찰)_마현생창(동양고속)" xfId="340" xr:uid="{00000000-0005-0000-0000-00009D040000}"/>
    <cellStyle name="_대곡이설(투찰)_마현생창(동양고속)_예정공정표" xfId="341" xr:uid="{00000000-0005-0000-0000-00009E040000}"/>
    <cellStyle name="_대곡이설(투찰)_마현생창(동양고속)_왜관-태평건설" xfId="342" xr:uid="{00000000-0005-0000-0000-00009F040000}"/>
    <cellStyle name="_대곡이설(투찰)_마현생창(동양고속)_왜관-태평건설_예정공정표" xfId="343" xr:uid="{00000000-0005-0000-0000-0000A0040000}"/>
    <cellStyle name="_대곡이설(투찰)_봉무지방산업단지도로(투찰)②" xfId="344" xr:uid="{00000000-0005-0000-0000-0000A1040000}"/>
    <cellStyle name="_대곡이설(투찰)_봉무지방산업단지도로(투찰)②_마현생창(동양고속)" xfId="345" xr:uid="{00000000-0005-0000-0000-0000A2040000}"/>
    <cellStyle name="_대곡이설(투찰)_봉무지방산업단지도로(투찰)②_마현생창(동양고속)_예정공정표" xfId="346" xr:uid="{00000000-0005-0000-0000-0000A3040000}"/>
    <cellStyle name="_대곡이설(투찰)_봉무지방산업단지도로(투찰)②_마현생창(동양고속)_왜관-태평건설" xfId="347" xr:uid="{00000000-0005-0000-0000-0000A4040000}"/>
    <cellStyle name="_대곡이설(투찰)_봉무지방산업단지도로(투찰)②_마현생창(동양고속)_왜관-태평건설_예정공정표" xfId="348" xr:uid="{00000000-0005-0000-0000-0000A5040000}"/>
    <cellStyle name="_대곡이설(투찰)_봉무지방산업단지도로(투찰)②_예정공정표" xfId="349" xr:uid="{00000000-0005-0000-0000-0000A6040000}"/>
    <cellStyle name="_대곡이설(투찰)_봉무지방산업단지도로(투찰)②_왜관-태평건설" xfId="350" xr:uid="{00000000-0005-0000-0000-0000A7040000}"/>
    <cellStyle name="_대곡이설(투찰)_봉무지방산업단지도로(투찰)②_왜관-태평건설_예정공정표" xfId="351" xr:uid="{00000000-0005-0000-0000-0000A8040000}"/>
    <cellStyle name="_대곡이설(투찰)_봉무지방산업단지도로(투찰)②+0.250%" xfId="352" xr:uid="{00000000-0005-0000-0000-0000A9040000}"/>
    <cellStyle name="_대곡이설(투찰)_봉무지방산업단지도로(투찰)②+0.250%_마현생창(동양고속)" xfId="353" xr:uid="{00000000-0005-0000-0000-0000AA040000}"/>
    <cellStyle name="_대곡이설(투찰)_봉무지방산업단지도로(투찰)②+0.250%_마현생창(동양고속)_예정공정표" xfId="354" xr:uid="{00000000-0005-0000-0000-0000AB040000}"/>
    <cellStyle name="_대곡이설(투찰)_봉무지방산업단지도로(투찰)②+0.250%_마현생창(동양고속)_왜관-태평건설" xfId="355" xr:uid="{00000000-0005-0000-0000-0000AC040000}"/>
    <cellStyle name="_대곡이설(투찰)_봉무지방산업단지도로(투찰)②+0.250%_마현생창(동양고속)_왜관-태평건설_예정공정표" xfId="356" xr:uid="{00000000-0005-0000-0000-0000AD040000}"/>
    <cellStyle name="_대곡이설(투찰)_봉무지방산업단지도로(투찰)②+0.250%_예정공정표" xfId="357" xr:uid="{00000000-0005-0000-0000-0000AE040000}"/>
    <cellStyle name="_대곡이설(투찰)_봉무지방산업단지도로(투찰)②+0.250%_왜관-태평건설" xfId="358" xr:uid="{00000000-0005-0000-0000-0000AF040000}"/>
    <cellStyle name="_대곡이설(투찰)_봉무지방산업단지도로(투찰)②+0.250%_왜관-태평건설_예정공정표" xfId="359" xr:uid="{00000000-0005-0000-0000-0000B0040000}"/>
    <cellStyle name="_대곡이설(투찰)_안산부대(투찰)⑤" xfId="360" xr:uid="{00000000-0005-0000-0000-0000B1040000}"/>
    <cellStyle name="_대곡이설(투찰)_안산부대(투찰)⑤_경찰서-터미널간도로(투찰)②" xfId="361" xr:uid="{00000000-0005-0000-0000-0000B2040000}"/>
    <cellStyle name="_대곡이설(투찰)_안산부대(투찰)⑤_경찰서-터미널간도로(투찰)②_마현생창(동양고속)" xfId="362" xr:uid="{00000000-0005-0000-0000-0000B3040000}"/>
    <cellStyle name="_대곡이설(투찰)_안산부대(투찰)⑤_경찰서-터미널간도로(투찰)②_마현생창(동양고속)_예정공정표" xfId="363" xr:uid="{00000000-0005-0000-0000-0000B4040000}"/>
    <cellStyle name="_대곡이설(투찰)_안산부대(투찰)⑤_경찰서-터미널간도로(투찰)②_마현생창(동양고속)_왜관-태평건설" xfId="364" xr:uid="{00000000-0005-0000-0000-0000B5040000}"/>
    <cellStyle name="_대곡이설(투찰)_안산부대(투찰)⑤_경찰서-터미널간도로(투찰)②_마현생창(동양고속)_왜관-태평건설_예정공정표" xfId="365" xr:uid="{00000000-0005-0000-0000-0000B6040000}"/>
    <cellStyle name="_대곡이설(투찰)_안산부대(투찰)⑤_경찰서-터미널간도로(투찰)②_예정공정표" xfId="366" xr:uid="{00000000-0005-0000-0000-0000B7040000}"/>
    <cellStyle name="_대곡이설(투찰)_안산부대(투찰)⑤_경찰서-터미널간도로(투찰)②_왜관-태평건설" xfId="367" xr:uid="{00000000-0005-0000-0000-0000B8040000}"/>
    <cellStyle name="_대곡이설(투찰)_안산부대(투찰)⑤_경찰서-터미널간도로(투찰)②_왜관-태평건설_예정공정표" xfId="368" xr:uid="{00000000-0005-0000-0000-0000B9040000}"/>
    <cellStyle name="_대곡이설(투찰)_안산부대(투찰)⑤_마현생창(동양고속)" xfId="369" xr:uid="{00000000-0005-0000-0000-0000BA040000}"/>
    <cellStyle name="_대곡이설(투찰)_안산부대(투찰)⑤_마현생창(동양고속)_예정공정표" xfId="370" xr:uid="{00000000-0005-0000-0000-0000BB040000}"/>
    <cellStyle name="_대곡이설(투찰)_안산부대(투찰)⑤_마현생창(동양고속)_왜관-태평건설" xfId="371" xr:uid="{00000000-0005-0000-0000-0000BC040000}"/>
    <cellStyle name="_대곡이설(투찰)_안산부대(투찰)⑤_마현생창(동양고속)_왜관-태평건설_예정공정표" xfId="372" xr:uid="{00000000-0005-0000-0000-0000BD040000}"/>
    <cellStyle name="_대곡이설(투찰)_안산부대(투찰)⑤_봉무지방산업단지도로(투찰)②" xfId="373" xr:uid="{00000000-0005-0000-0000-0000BE040000}"/>
    <cellStyle name="_대곡이설(투찰)_안산부대(투찰)⑤_봉무지방산업단지도로(투찰)②_마현생창(동양고속)" xfId="374" xr:uid="{00000000-0005-0000-0000-0000BF040000}"/>
    <cellStyle name="_대곡이설(투찰)_안산부대(투찰)⑤_봉무지방산업단지도로(투찰)②_마현생창(동양고속)_예정공정표" xfId="375" xr:uid="{00000000-0005-0000-0000-0000C0040000}"/>
    <cellStyle name="_대곡이설(투찰)_안산부대(투찰)⑤_봉무지방산업단지도로(투찰)②_마현생창(동양고속)_왜관-태평건설" xfId="376" xr:uid="{00000000-0005-0000-0000-0000C1040000}"/>
    <cellStyle name="_대곡이설(투찰)_안산부대(투찰)⑤_봉무지방산업단지도로(투찰)②_마현생창(동양고속)_왜관-태평건설_예정공정표" xfId="377" xr:uid="{00000000-0005-0000-0000-0000C2040000}"/>
    <cellStyle name="_대곡이설(투찰)_안산부대(투찰)⑤_봉무지방산업단지도로(투찰)②_예정공정표" xfId="378" xr:uid="{00000000-0005-0000-0000-0000C3040000}"/>
    <cellStyle name="_대곡이설(투찰)_안산부대(투찰)⑤_봉무지방산업단지도로(투찰)②_왜관-태평건설" xfId="379" xr:uid="{00000000-0005-0000-0000-0000C4040000}"/>
    <cellStyle name="_대곡이설(투찰)_안산부대(투찰)⑤_봉무지방산업단지도로(투찰)②_왜관-태평건설_예정공정표" xfId="380" xr:uid="{00000000-0005-0000-0000-0000C5040000}"/>
    <cellStyle name="_대곡이설(투찰)_안산부대(투찰)⑤_봉무지방산업단지도로(투찰)②+0.250%" xfId="381" xr:uid="{00000000-0005-0000-0000-0000C6040000}"/>
    <cellStyle name="_대곡이설(투찰)_안산부대(투찰)⑤_봉무지방산업단지도로(투찰)②+0.250%_마현생창(동양고속)" xfId="382" xr:uid="{00000000-0005-0000-0000-0000C7040000}"/>
    <cellStyle name="_대곡이설(투찰)_안산부대(투찰)⑤_봉무지방산업단지도로(투찰)②+0.250%_마현생창(동양고속)_예정공정표" xfId="383" xr:uid="{00000000-0005-0000-0000-0000C8040000}"/>
    <cellStyle name="_대곡이설(투찰)_안산부대(투찰)⑤_봉무지방산업단지도로(투찰)②+0.250%_마현생창(동양고속)_왜관-태평건설" xfId="384" xr:uid="{00000000-0005-0000-0000-0000C9040000}"/>
    <cellStyle name="_대곡이설(투찰)_안산부대(투찰)⑤_봉무지방산업단지도로(투찰)②+0.250%_마현생창(동양고속)_왜관-태평건설_예정공정표" xfId="385" xr:uid="{00000000-0005-0000-0000-0000CA040000}"/>
    <cellStyle name="_대곡이설(투찰)_안산부대(투찰)⑤_봉무지방산업단지도로(투찰)②+0.250%_예정공정표" xfId="386" xr:uid="{00000000-0005-0000-0000-0000CB040000}"/>
    <cellStyle name="_대곡이설(투찰)_안산부대(투찰)⑤_봉무지방산업단지도로(투찰)②+0.250%_왜관-태평건설" xfId="387" xr:uid="{00000000-0005-0000-0000-0000CC040000}"/>
    <cellStyle name="_대곡이설(투찰)_안산부대(투찰)⑤_봉무지방산업단지도로(투찰)②+0.250%_왜관-태평건설_예정공정표" xfId="388" xr:uid="{00000000-0005-0000-0000-0000CD040000}"/>
    <cellStyle name="_대곡이설(투찰)_안산부대(투찰)⑤_예정공정표" xfId="389" xr:uid="{00000000-0005-0000-0000-0000CE040000}"/>
    <cellStyle name="_대곡이설(투찰)_안산부대(투찰)⑤_왜관-태평건설" xfId="390" xr:uid="{00000000-0005-0000-0000-0000CF040000}"/>
    <cellStyle name="_대곡이설(투찰)_안산부대(투찰)⑤_왜관-태평건설_예정공정표" xfId="391" xr:uid="{00000000-0005-0000-0000-0000D0040000}"/>
    <cellStyle name="_대곡이설(투찰)_안산부대(투찰)⑤_합덕-신례원(2공구)투찰" xfId="392" xr:uid="{00000000-0005-0000-0000-0000D1040000}"/>
    <cellStyle name="_대곡이설(투찰)_안산부대(투찰)⑤_합덕-신례원(2공구)투찰_경찰서-터미널간도로(투찰)②" xfId="393" xr:uid="{00000000-0005-0000-0000-0000D2040000}"/>
    <cellStyle name="_대곡이설(투찰)_안산부대(투찰)⑤_합덕-신례원(2공구)투찰_경찰서-터미널간도로(투찰)②_마현생창(동양고속)" xfId="394" xr:uid="{00000000-0005-0000-0000-0000D3040000}"/>
    <cellStyle name="_대곡이설(투찰)_안산부대(투찰)⑤_합덕-신례원(2공구)투찰_경찰서-터미널간도로(투찰)②_마현생창(동양고속)_예정공정표" xfId="395" xr:uid="{00000000-0005-0000-0000-0000D4040000}"/>
    <cellStyle name="_대곡이설(투찰)_안산부대(투찰)⑤_합덕-신례원(2공구)투찰_경찰서-터미널간도로(투찰)②_마현생창(동양고속)_왜관-태평건설" xfId="396" xr:uid="{00000000-0005-0000-0000-0000D5040000}"/>
    <cellStyle name="_대곡이설(투찰)_안산부대(투찰)⑤_합덕-신례원(2공구)투찰_경찰서-터미널간도로(투찰)②_마현생창(동양고속)_왜관-태평건설_예정공정표" xfId="397" xr:uid="{00000000-0005-0000-0000-0000D6040000}"/>
    <cellStyle name="_대곡이설(투찰)_안산부대(투찰)⑤_합덕-신례원(2공구)투찰_경찰서-터미널간도로(투찰)②_예정공정표" xfId="398" xr:uid="{00000000-0005-0000-0000-0000D7040000}"/>
    <cellStyle name="_대곡이설(투찰)_안산부대(투찰)⑤_합덕-신례원(2공구)투찰_경찰서-터미널간도로(투찰)②_왜관-태평건설" xfId="399" xr:uid="{00000000-0005-0000-0000-0000D8040000}"/>
    <cellStyle name="_대곡이설(투찰)_안산부대(투찰)⑤_합덕-신례원(2공구)투찰_경찰서-터미널간도로(투찰)②_왜관-태평건설_예정공정표" xfId="400" xr:uid="{00000000-0005-0000-0000-0000D9040000}"/>
    <cellStyle name="_대곡이설(투찰)_안산부대(투찰)⑤_합덕-신례원(2공구)투찰_마현생창(동양고속)" xfId="401" xr:uid="{00000000-0005-0000-0000-0000DA040000}"/>
    <cellStyle name="_대곡이설(투찰)_안산부대(투찰)⑤_합덕-신례원(2공구)투찰_마현생창(동양고속)_예정공정표" xfId="402" xr:uid="{00000000-0005-0000-0000-0000DB040000}"/>
    <cellStyle name="_대곡이설(투찰)_안산부대(투찰)⑤_합덕-신례원(2공구)투찰_마현생창(동양고속)_왜관-태평건설" xfId="403" xr:uid="{00000000-0005-0000-0000-0000DC040000}"/>
    <cellStyle name="_대곡이설(투찰)_안산부대(투찰)⑤_합덕-신례원(2공구)투찰_마현생창(동양고속)_왜관-태평건설_예정공정표" xfId="404" xr:uid="{00000000-0005-0000-0000-0000DD040000}"/>
    <cellStyle name="_대곡이설(투찰)_안산부대(투찰)⑤_합덕-신례원(2공구)투찰_봉무지방산업단지도로(투찰)②" xfId="405" xr:uid="{00000000-0005-0000-0000-0000DE040000}"/>
    <cellStyle name="_대곡이설(투찰)_안산부대(투찰)⑤_합덕-신례원(2공구)투찰_봉무지방산업단지도로(투찰)②_마현생창(동양고속)" xfId="406" xr:uid="{00000000-0005-0000-0000-0000DF040000}"/>
    <cellStyle name="_대곡이설(투찰)_안산부대(투찰)⑤_합덕-신례원(2공구)투찰_봉무지방산업단지도로(투찰)②_마현생창(동양고속)_예정공정표" xfId="407" xr:uid="{00000000-0005-0000-0000-0000E0040000}"/>
    <cellStyle name="_대곡이설(투찰)_안산부대(투찰)⑤_합덕-신례원(2공구)투찰_봉무지방산업단지도로(투찰)②_마현생창(동양고속)_왜관-태평건설" xfId="408" xr:uid="{00000000-0005-0000-0000-0000E1040000}"/>
    <cellStyle name="_대곡이설(투찰)_안산부대(투찰)⑤_합덕-신례원(2공구)투찰_봉무지방산업단지도로(투찰)②_마현생창(동양고속)_왜관-태평건설_예정공정표" xfId="409" xr:uid="{00000000-0005-0000-0000-0000E2040000}"/>
    <cellStyle name="_대곡이설(투찰)_안산부대(투찰)⑤_합덕-신례원(2공구)투찰_봉무지방산업단지도로(투찰)②_예정공정표" xfId="410" xr:uid="{00000000-0005-0000-0000-0000E3040000}"/>
    <cellStyle name="_대곡이설(투찰)_안산부대(투찰)⑤_합덕-신례원(2공구)투찰_봉무지방산업단지도로(투찰)②_왜관-태평건설" xfId="411" xr:uid="{00000000-0005-0000-0000-0000E4040000}"/>
    <cellStyle name="_대곡이설(투찰)_안산부대(투찰)⑤_합덕-신례원(2공구)투찰_봉무지방산업단지도로(투찰)②_왜관-태평건설_예정공정표" xfId="412" xr:uid="{00000000-0005-0000-0000-0000E5040000}"/>
    <cellStyle name="_대곡이설(투찰)_안산부대(투찰)⑤_합덕-신례원(2공구)투찰_봉무지방산업단지도로(투찰)②+0.250%" xfId="413" xr:uid="{00000000-0005-0000-0000-0000E6040000}"/>
    <cellStyle name="_대곡이설(투찰)_안산부대(투찰)⑤_합덕-신례원(2공구)투찰_봉무지방산업단지도로(투찰)②+0.250%_마현생창(동양고속)" xfId="414" xr:uid="{00000000-0005-0000-0000-0000E7040000}"/>
    <cellStyle name="_대곡이설(투찰)_안산부대(투찰)⑤_합덕-신례원(2공구)투찰_봉무지방산업단지도로(투찰)②+0.250%_마현생창(동양고속)_예정공정표" xfId="415" xr:uid="{00000000-0005-0000-0000-0000E8040000}"/>
    <cellStyle name="_대곡이설(투찰)_안산부대(투찰)⑤_합덕-신례원(2공구)투찰_봉무지방산업단지도로(투찰)②+0.250%_마현생창(동양고속)_왜관-태평건설" xfId="416" xr:uid="{00000000-0005-0000-0000-0000E9040000}"/>
    <cellStyle name="_대곡이설(투찰)_안산부대(투찰)⑤_합덕-신례원(2공구)투찰_봉무지방산업단지도로(투찰)②+0.250%_마현생창(동양고속)_왜관-태평건설_예정공정표" xfId="417" xr:uid="{00000000-0005-0000-0000-0000EA040000}"/>
    <cellStyle name="_대곡이설(투찰)_안산부대(투찰)⑤_합덕-신례원(2공구)투찰_봉무지방산업단지도로(투찰)②+0.250%_예정공정표" xfId="418" xr:uid="{00000000-0005-0000-0000-0000EB040000}"/>
    <cellStyle name="_대곡이설(투찰)_안산부대(투찰)⑤_합덕-신례원(2공구)투찰_봉무지방산업단지도로(투찰)②+0.250%_왜관-태평건설" xfId="419" xr:uid="{00000000-0005-0000-0000-0000EC040000}"/>
    <cellStyle name="_대곡이설(투찰)_안산부대(투찰)⑤_합덕-신례원(2공구)투찰_봉무지방산업단지도로(투찰)②+0.250%_왜관-태평건설_예정공정표" xfId="420" xr:uid="{00000000-0005-0000-0000-0000ED040000}"/>
    <cellStyle name="_대곡이설(투찰)_안산부대(투찰)⑤_합덕-신례원(2공구)투찰_예정공정표" xfId="421" xr:uid="{00000000-0005-0000-0000-0000EE040000}"/>
    <cellStyle name="_대곡이설(투찰)_안산부대(투찰)⑤_합덕-신례원(2공구)투찰_왜관-태평건설" xfId="422" xr:uid="{00000000-0005-0000-0000-0000EF040000}"/>
    <cellStyle name="_대곡이설(투찰)_안산부대(투찰)⑤_합덕-신례원(2공구)투찰_왜관-태평건설_예정공정표" xfId="423" xr:uid="{00000000-0005-0000-0000-0000F0040000}"/>
    <cellStyle name="_대곡이설(투찰)_안산부대(투찰)⑤_합덕-신례원(2공구)투찰_합덕-신례원(2공구)투찰" xfId="424" xr:uid="{00000000-0005-0000-0000-0000F1040000}"/>
    <cellStyle name="_대곡이설(투찰)_안산부대(투찰)⑤_합덕-신례원(2공구)투찰_합덕-신례원(2공구)투찰_경찰서-터미널간도로(투찰)②" xfId="425" xr:uid="{00000000-0005-0000-0000-0000F2040000}"/>
    <cellStyle name="_대곡이설(투찰)_안산부대(투찰)⑤_합덕-신례원(2공구)투찰_합덕-신례원(2공구)투찰_경찰서-터미널간도로(투찰)②_마현생창(동양고속)" xfId="426" xr:uid="{00000000-0005-0000-0000-0000F3040000}"/>
    <cellStyle name="_대곡이설(투찰)_안산부대(투찰)⑤_합덕-신례원(2공구)투찰_합덕-신례원(2공구)투찰_경찰서-터미널간도로(투찰)②_마현생창(동양고속)_예정공정표" xfId="427" xr:uid="{00000000-0005-0000-0000-0000F4040000}"/>
    <cellStyle name="_대곡이설(투찰)_안산부대(투찰)⑤_합덕-신례원(2공구)투찰_합덕-신례원(2공구)투찰_경찰서-터미널간도로(투찰)②_마현생창(동양고속)_왜관-태평건설" xfId="428" xr:uid="{00000000-0005-0000-0000-0000F5040000}"/>
    <cellStyle name="_대곡이설(투찰)_안산부대(투찰)⑤_합덕-신례원(2공구)투찰_합덕-신례원(2공구)투찰_경찰서-터미널간도로(투찰)②_마현생창(동양고속)_왜관-태평건설_예정공정표" xfId="429" xr:uid="{00000000-0005-0000-0000-0000F6040000}"/>
    <cellStyle name="_대곡이설(투찰)_안산부대(투찰)⑤_합덕-신례원(2공구)투찰_합덕-신례원(2공구)투찰_경찰서-터미널간도로(투찰)②_예정공정표" xfId="430" xr:uid="{00000000-0005-0000-0000-0000F7040000}"/>
    <cellStyle name="_대곡이설(투찰)_안산부대(투찰)⑤_합덕-신례원(2공구)투찰_합덕-신례원(2공구)투찰_경찰서-터미널간도로(투찰)②_왜관-태평건설" xfId="431" xr:uid="{00000000-0005-0000-0000-0000F8040000}"/>
    <cellStyle name="_대곡이설(투찰)_안산부대(투찰)⑤_합덕-신례원(2공구)투찰_합덕-신례원(2공구)투찰_경찰서-터미널간도로(투찰)②_왜관-태평건설_예정공정표" xfId="432" xr:uid="{00000000-0005-0000-0000-0000F9040000}"/>
    <cellStyle name="_대곡이설(투찰)_안산부대(투찰)⑤_합덕-신례원(2공구)투찰_합덕-신례원(2공구)투찰_마현생창(동양고속)" xfId="433" xr:uid="{00000000-0005-0000-0000-0000FA040000}"/>
    <cellStyle name="_대곡이설(투찰)_안산부대(투찰)⑤_합덕-신례원(2공구)투찰_합덕-신례원(2공구)투찰_마현생창(동양고속)_예정공정표" xfId="434" xr:uid="{00000000-0005-0000-0000-0000FB040000}"/>
    <cellStyle name="_대곡이설(투찰)_안산부대(투찰)⑤_합덕-신례원(2공구)투찰_합덕-신례원(2공구)투찰_마현생창(동양고속)_왜관-태평건설" xfId="435" xr:uid="{00000000-0005-0000-0000-0000FC040000}"/>
    <cellStyle name="_대곡이설(투찰)_안산부대(투찰)⑤_합덕-신례원(2공구)투찰_합덕-신례원(2공구)투찰_마현생창(동양고속)_왜관-태평건설_예정공정표" xfId="436" xr:uid="{00000000-0005-0000-0000-0000FD040000}"/>
    <cellStyle name="_대곡이설(투찰)_안산부대(투찰)⑤_합덕-신례원(2공구)투찰_합덕-신례원(2공구)투찰_봉무지방산업단지도로(투찰)②" xfId="437" xr:uid="{00000000-0005-0000-0000-0000FE040000}"/>
    <cellStyle name="_대곡이설(투찰)_안산부대(투찰)⑤_합덕-신례원(2공구)투찰_합덕-신례원(2공구)투찰_봉무지방산업단지도로(투찰)②_마현생창(동양고속)" xfId="438" xr:uid="{00000000-0005-0000-0000-0000FF040000}"/>
    <cellStyle name="_대곡이설(투찰)_안산부대(투찰)⑤_합덕-신례원(2공구)투찰_합덕-신례원(2공구)투찰_봉무지방산업단지도로(투찰)②_마현생창(동양고속)_예정공정표" xfId="439" xr:uid="{00000000-0005-0000-0000-000000050000}"/>
    <cellStyle name="_대곡이설(투찰)_안산부대(투찰)⑤_합덕-신례원(2공구)투찰_합덕-신례원(2공구)투찰_봉무지방산업단지도로(투찰)②_마현생창(동양고속)_왜관-태평건설" xfId="440" xr:uid="{00000000-0005-0000-0000-000001050000}"/>
    <cellStyle name="_대곡이설(투찰)_안산부대(투찰)⑤_합덕-신례원(2공구)투찰_합덕-신례원(2공구)투찰_봉무지방산업단지도로(투찰)②_마현생창(동양고속)_왜관-태평건설_예정공정표" xfId="441" xr:uid="{00000000-0005-0000-0000-000002050000}"/>
    <cellStyle name="_대곡이설(투찰)_안산부대(투찰)⑤_합덕-신례원(2공구)투찰_합덕-신례원(2공구)투찰_봉무지방산업단지도로(투찰)②_예정공정표" xfId="442" xr:uid="{00000000-0005-0000-0000-000003050000}"/>
    <cellStyle name="_대곡이설(투찰)_안산부대(투찰)⑤_합덕-신례원(2공구)투찰_합덕-신례원(2공구)투찰_봉무지방산업단지도로(투찰)②_왜관-태평건설" xfId="443" xr:uid="{00000000-0005-0000-0000-000004050000}"/>
    <cellStyle name="_대곡이설(투찰)_안산부대(투찰)⑤_합덕-신례원(2공구)투찰_합덕-신례원(2공구)투찰_봉무지방산업단지도로(투찰)②_왜관-태평건설_예정공정표" xfId="444" xr:uid="{00000000-0005-0000-0000-000005050000}"/>
    <cellStyle name="_대곡이설(투찰)_안산부대(투찰)⑤_합덕-신례원(2공구)투찰_합덕-신례원(2공구)투찰_봉무지방산업단지도로(투찰)②+0.250%" xfId="445" xr:uid="{00000000-0005-0000-0000-000006050000}"/>
    <cellStyle name="_대곡이설(투찰)_안산부대(투찰)⑤_합덕-신례원(2공구)투찰_합덕-신례원(2공구)투찰_봉무지방산업단지도로(투찰)②+0.250%_마현생창(동양고속)" xfId="446" xr:uid="{00000000-0005-0000-0000-000007050000}"/>
    <cellStyle name="_대곡이설(투찰)_안산부대(투찰)⑤_합덕-신례원(2공구)투찰_합덕-신례원(2공구)투찰_봉무지방산업단지도로(투찰)②+0.250%_마현생창(동양고속)_예정공정표" xfId="447" xr:uid="{00000000-0005-0000-0000-000008050000}"/>
    <cellStyle name="_대곡이설(투찰)_안산부대(투찰)⑤_합덕-신례원(2공구)투찰_합덕-신례원(2공구)투찰_봉무지방산업단지도로(투찰)②+0.250%_마현생창(동양고속)_왜관-태평건설" xfId="448" xr:uid="{00000000-0005-0000-0000-000009050000}"/>
    <cellStyle name="_대곡이설(투찰)_안산부대(투찰)⑤_합덕-신례원(2공구)투찰_합덕-신례원(2공구)투찰_봉무지방산업단지도로(투찰)②+0.250%_마현생창(동양고속)_왜관-태평건설_예정공정표" xfId="449" xr:uid="{00000000-0005-0000-0000-00000A050000}"/>
    <cellStyle name="_대곡이설(투찰)_안산부대(투찰)⑤_합덕-신례원(2공구)투찰_합덕-신례원(2공구)투찰_봉무지방산업단지도로(투찰)②+0.250%_예정공정표" xfId="450" xr:uid="{00000000-0005-0000-0000-00000B050000}"/>
    <cellStyle name="_대곡이설(투찰)_안산부대(투찰)⑤_합덕-신례원(2공구)투찰_합덕-신례원(2공구)투찰_봉무지방산업단지도로(투찰)②+0.250%_왜관-태평건설" xfId="451" xr:uid="{00000000-0005-0000-0000-00000C050000}"/>
    <cellStyle name="_대곡이설(투찰)_안산부대(투찰)⑤_합덕-신례원(2공구)투찰_합덕-신례원(2공구)투찰_봉무지방산업단지도로(투찰)②+0.250%_왜관-태평건설_예정공정표" xfId="452" xr:uid="{00000000-0005-0000-0000-00000D050000}"/>
    <cellStyle name="_대곡이설(투찰)_안산부대(투찰)⑤_합덕-신례원(2공구)투찰_합덕-신례원(2공구)투찰_예정공정표" xfId="453" xr:uid="{00000000-0005-0000-0000-00000E050000}"/>
    <cellStyle name="_대곡이설(투찰)_안산부대(투찰)⑤_합덕-신례원(2공구)투찰_합덕-신례원(2공구)투찰_왜관-태평건설" xfId="454" xr:uid="{00000000-0005-0000-0000-00000F050000}"/>
    <cellStyle name="_대곡이설(투찰)_안산부대(투찰)⑤_합덕-신례원(2공구)투찰_합덕-신례원(2공구)투찰_왜관-태평건설_예정공정표" xfId="455" xr:uid="{00000000-0005-0000-0000-000010050000}"/>
    <cellStyle name="_대곡이설(투찰)_양곡부두(투찰)-0.31%" xfId="456" xr:uid="{00000000-0005-0000-0000-000011050000}"/>
    <cellStyle name="_대곡이설(투찰)_양곡부두(투찰)-0.31%_경찰서-터미널간도로(투찰)②" xfId="457" xr:uid="{00000000-0005-0000-0000-000012050000}"/>
    <cellStyle name="_대곡이설(투찰)_양곡부두(투찰)-0.31%_경찰서-터미널간도로(투찰)②_마현생창(동양고속)" xfId="458" xr:uid="{00000000-0005-0000-0000-000013050000}"/>
    <cellStyle name="_대곡이설(투찰)_양곡부두(투찰)-0.31%_경찰서-터미널간도로(투찰)②_마현생창(동양고속)_예정공정표" xfId="459" xr:uid="{00000000-0005-0000-0000-000014050000}"/>
    <cellStyle name="_대곡이설(투찰)_양곡부두(투찰)-0.31%_경찰서-터미널간도로(투찰)②_마현생창(동양고속)_왜관-태평건설" xfId="460" xr:uid="{00000000-0005-0000-0000-000015050000}"/>
    <cellStyle name="_대곡이설(투찰)_양곡부두(투찰)-0.31%_경찰서-터미널간도로(투찰)②_마현생창(동양고속)_왜관-태평건설_예정공정표" xfId="461" xr:uid="{00000000-0005-0000-0000-000016050000}"/>
    <cellStyle name="_대곡이설(투찰)_양곡부두(투찰)-0.31%_경찰서-터미널간도로(투찰)②_예정공정표" xfId="462" xr:uid="{00000000-0005-0000-0000-000017050000}"/>
    <cellStyle name="_대곡이설(투찰)_양곡부두(투찰)-0.31%_경찰서-터미널간도로(투찰)②_왜관-태평건설" xfId="463" xr:uid="{00000000-0005-0000-0000-000018050000}"/>
    <cellStyle name="_대곡이설(투찰)_양곡부두(투찰)-0.31%_경찰서-터미널간도로(투찰)②_왜관-태평건설_예정공정표" xfId="464" xr:uid="{00000000-0005-0000-0000-000019050000}"/>
    <cellStyle name="_대곡이설(투찰)_양곡부두(투찰)-0.31%_마현생창(동양고속)" xfId="465" xr:uid="{00000000-0005-0000-0000-00001A050000}"/>
    <cellStyle name="_대곡이설(투찰)_양곡부두(투찰)-0.31%_마현생창(동양고속)_예정공정표" xfId="466" xr:uid="{00000000-0005-0000-0000-00001B050000}"/>
    <cellStyle name="_대곡이설(투찰)_양곡부두(투찰)-0.31%_마현생창(동양고속)_왜관-태평건설" xfId="467" xr:uid="{00000000-0005-0000-0000-00001C050000}"/>
    <cellStyle name="_대곡이설(투찰)_양곡부두(투찰)-0.31%_마현생창(동양고속)_왜관-태평건설_예정공정표" xfId="468" xr:uid="{00000000-0005-0000-0000-00001D050000}"/>
    <cellStyle name="_대곡이설(투찰)_양곡부두(투찰)-0.31%_봉무지방산업단지도로(투찰)②" xfId="469" xr:uid="{00000000-0005-0000-0000-00001E050000}"/>
    <cellStyle name="_대곡이설(투찰)_양곡부두(투찰)-0.31%_봉무지방산업단지도로(투찰)②_마현생창(동양고속)" xfId="470" xr:uid="{00000000-0005-0000-0000-00001F050000}"/>
    <cellStyle name="_대곡이설(투찰)_양곡부두(투찰)-0.31%_봉무지방산업단지도로(투찰)②_마현생창(동양고속)_예정공정표" xfId="471" xr:uid="{00000000-0005-0000-0000-000020050000}"/>
    <cellStyle name="_대곡이설(투찰)_양곡부두(투찰)-0.31%_봉무지방산업단지도로(투찰)②_마현생창(동양고속)_왜관-태평건설" xfId="472" xr:uid="{00000000-0005-0000-0000-000021050000}"/>
    <cellStyle name="_대곡이설(투찰)_양곡부두(투찰)-0.31%_봉무지방산업단지도로(투찰)②_마현생창(동양고속)_왜관-태평건설_예정공정표" xfId="473" xr:uid="{00000000-0005-0000-0000-000022050000}"/>
    <cellStyle name="_대곡이설(투찰)_양곡부두(투찰)-0.31%_봉무지방산업단지도로(투찰)②_예정공정표" xfId="474" xr:uid="{00000000-0005-0000-0000-000023050000}"/>
    <cellStyle name="_대곡이설(투찰)_양곡부두(투찰)-0.31%_봉무지방산업단지도로(투찰)②_왜관-태평건설" xfId="475" xr:uid="{00000000-0005-0000-0000-000024050000}"/>
    <cellStyle name="_대곡이설(투찰)_양곡부두(투찰)-0.31%_봉무지방산업단지도로(투찰)②_왜관-태평건설_예정공정표" xfId="476" xr:uid="{00000000-0005-0000-0000-000025050000}"/>
    <cellStyle name="_대곡이설(투찰)_양곡부두(투찰)-0.31%_봉무지방산업단지도로(투찰)②+0.250%" xfId="477" xr:uid="{00000000-0005-0000-0000-000026050000}"/>
    <cellStyle name="_대곡이설(투찰)_양곡부두(투찰)-0.31%_봉무지방산업단지도로(투찰)②+0.250%_마현생창(동양고속)" xfId="478" xr:uid="{00000000-0005-0000-0000-000027050000}"/>
    <cellStyle name="_대곡이설(투찰)_양곡부두(투찰)-0.31%_봉무지방산업단지도로(투찰)②+0.250%_마현생창(동양고속)_예정공정표" xfId="479" xr:uid="{00000000-0005-0000-0000-000028050000}"/>
    <cellStyle name="_대곡이설(투찰)_양곡부두(투찰)-0.31%_봉무지방산업단지도로(투찰)②+0.250%_마현생창(동양고속)_왜관-태평건설" xfId="480" xr:uid="{00000000-0005-0000-0000-000029050000}"/>
    <cellStyle name="_대곡이설(투찰)_양곡부두(투찰)-0.31%_봉무지방산업단지도로(투찰)②+0.250%_마현생창(동양고속)_왜관-태평건설_예정공정표" xfId="481" xr:uid="{00000000-0005-0000-0000-00002A050000}"/>
    <cellStyle name="_대곡이설(투찰)_양곡부두(투찰)-0.31%_봉무지방산업단지도로(투찰)②+0.250%_예정공정표" xfId="482" xr:uid="{00000000-0005-0000-0000-00002B050000}"/>
    <cellStyle name="_대곡이설(투찰)_양곡부두(투찰)-0.31%_봉무지방산업단지도로(투찰)②+0.250%_왜관-태평건설" xfId="483" xr:uid="{00000000-0005-0000-0000-00002C050000}"/>
    <cellStyle name="_대곡이설(투찰)_양곡부두(투찰)-0.31%_봉무지방산업단지도로(투찰)②+0.250%_왜관-태평건설_예정공정표" xfId="484" xr:uid="{00000000-0005-0000-0000-00002D050000}"/>
    <cellStyle name="_대곡이설(투찰)_양곡부두(투찰)-0.31%_예정공정표" xfId="485" xr:uid="{00000000-0005-0000-0000-00002E050000}"/>
    <cellStyle name="_대곡이설(투찰)_양곡부두(투찰)-0.31%_왜관-태평건설" xfId="486" xr:uid="{00000000-0005-0000-0000-00002F050000}"/>
    <cellStyle name="_대곡이설(투찰)_양곡부두(투찰)-0.31%_왜관-태평건설_예정공정표" xfId="487" xr:uid="{00000000-0005-0000-0000-000030050000}"/>
    <cellStyle name="_대곡이설(투찰)_양곡부두(투찰)-0.31%_합덕-신례원(2공구)투찰" xfId="488" xr:uid="{00000000-0005-0000-0000-000031050000}"/>
    <cellStyle name="_대곡이설(투찰)_양곡부두(투찰)-0.31%_합덕-신례원(2공구)투찰_경찰서-터미널간도로(투찰)②" xfId="489" xr:uid="{00000000-0005-0000-0000-000032050000}"/>
    <cellStyle name="_대곡이설(투찰)_양곡부두(투찰)-0.31%_합덕-신례원(2공구)투찰_경찰서-터미널간도로(투찰)②_마현생창(동양고속)" xfId="490" xr:uid="{00000000-0005-0000-0000-000033050000}"/>
    <cellStyle name="_대곡이설(투찰)_양곡부두(투찰)-0.31%_합덕-신례원(2공구)투찰_경찰서-터미널간도로(투찰)②_마현생창(동양고속)_예정공정표" xfId="491" xr:uid="{00000000-0005-0000-0000-000034050000}"/>
    <cellStyle name="_대곡이설(투찰)_양곡부두(투찰)-0.31%_합덕-신례원(2공구)투찰_경찰서-터미널간도로(투찰)②_마현생창(동양고속)_왜관-태평건설" xfId="492" xr:uid="{00000000-0005-0000-0000-000035050000}"/>
    <cellStyle name="_대곡이설(투찰)_양곡부두(투찰)-0.31%_합덕-신례원(2공구)투찰_경찰서-터미널간도로(투찰)②_마현생창(동양고속)_왜관-태평건설_예정공정표" xfId="493" xr:uid="{00000000-0005-0000-0000-000036050000}"/>
    <cellStyle name="_대곡이설(투찰)_양곡부두(투찰)-0.31%_합덕-신례원(2공구)투찰_경찰서-터미널간도로(투찰)②_예정공정표" xfId="494" xr:uid="{00000000-0005-0000-0000-000037050000}"/>
    <cellStyle name="_대곡이설(투찰)_양곡부두(투찰)-0.31%_합덕-신례원(2공구)투찰_경찰서-터미널간도로(투찰)②_왜관-태평건설" xfId="495" xr:uid="{00000000-0005-0000-0000-000038050000}"/>
    <cellStyle name="_대곡이설(투찰)_양곡부두(투찰)-0.31%_합덕-신례원(2공구)투찰_경찰서-터미널간도로(투찰)②_왜관-태평건설_예정공정표" xfId="496" xr:uid="{00000000-0005-0000-0000-000039050000}"/>
    <cellStyle name="_대곡이설(투찰)_양곡부두(투찰)-0.31%_합덕-신례원(2공구)투찰_마현생창(동양고속)" xfId="497" xr:uid="{00000000-0005-0000-0000-00003A050000}"/>
    <cellStyle name="_대곡이설(투찰)_양곡부두(투찰)-0.31%_합덕-신례원(2공구)투찰_마현생창(동양고속)_예정공정표" xfId="498" xr:uid="{00000000-0005-0000-0000-00003B050000}"/>
    <cellStyle name="_대곡이설(투찰)_양곡부두(투찰)-0.31%_합덕-신례원(2공구)투찰_마현생창(동양고속)_왜관-태평건설" xfId="499" xr:uid="{00000000-0005-0000-0000-00003C050000}"/>
    <cellStyle name="_대곡이설(투찰)_양곡부두(투찰)-0.31%_합덕-신례원(2공구)투찰_마현생창(동양고속)_왜관-태평건설_예정공정표" xfId="500" xr:uid="{00000000-0005-0000-0000-00003D050000}"/>
    <cellStyle name="_대곡이설(투찰)_양곡부두(투찰)-0.31%_합덕-신례원(2공구)투찰_봉무지방산업단지도로(투찰)②" xfId="501" xr:uid="{00000000-0005-0000-0000-00003E050000}"/>
    <cellStyle name="_대곡이설(투찰)_양곡부두(투찰)-0.31%_합덕-신례원(2공구)투찰_봉무지방산업단지도로(투찰)②_마현생창(동양고속)" xfId="502" xr:uid="{00000000-0005-0000-0000-00003F050000}"/>
    <cellStyle name="_대곡이설(투찰)_양곡부두(투찰)-0.31%_합덕-신례원(2공구)투찰_봉무지방산업단지도로(투찰)②_마현생창(동양고속)_예정공정표" xfId="503" xr:uid="{00000000-0005-0000-0000-000040050000}"/>
    <cellStyle name="_대곡이설(투찰)_양곡부두(투찰)-0.31%_합덕-신례원(2공구)투찰_봉무지방산업단지도로(투찰)②_마현생창(동양고속)_왜관-태평건설" xfId="504" xr:uid="{00000000-0005-0000-0000-000041050000}"/>
    <cellStyle name="_대곡이설(투찰)_양곡부두(투찰)-0.31%_합덕-신례원(2공구)투찰_봉무지방산업단지도로(투찰)②_마현생창(동양고속)_왜관-태평건설_예정공정표" xfId="505" xr:uid="{00000000-0005-0000-0000-000042050000}"/>
    <cellStyle name="_대곡이설(투찰)_양곡부두(투찰)-0.31%_합덕-신례원(2공구)투찰_봉무지방산업단지도로(투찰)②_예정공정표" xfId="506" xr:uid="{00000000-0005-0000-0000-000043050000}"/>
    <cellStyle name="_대곡이설(투찰)_양곡부두(투찰)-0.31%_합덕-신례원(2공구)투찰_봉무지방산업단지도로(투찰)②_왜관-태평건설" xfId="507" xr:uid="{00000000-0005-0000-0000-000044050000}"/>
    <cellStyle name="_대곡이설(투찰)_양곡부두(투찰)-0.31%_합덕-신례원(2공구)투찰_봉무지방산업단지도로(투찰)②_왜관-태평건설_예정공정표" xfId="508" xr:uid="{00000000-0005-0000-0000-000045050000}"/>
    <cellStyle name="_대곡이설(투찰)_양곡부두(투찰)-0.31%_합덕-신례원(2공구)투찰_봉무지방산업단지도로(투찰)②+0.250%" xfId="509" xr:uid="{00000000-0005-0000-0000-000046050000}"/>
    <cellStyle name="_대곡이설(투찰)_양곡부두(투찰)-0.31%_합덕-신례원(2공구)투찰_봉무지방산업단지도로(투찰)②+0.250%_마현생창(동양고속)" xfId="510" xr:uid="{00000000-0005-0000-0000-000047050000}"/>
    <cellStyle name="_대곡이설(투찰)_양곡부두(투찰)-0.31%_합덕-신례원(2공구)투찰_봉무지방산업단지도로(투찰)②+0.250%_마현생창(동양고속)_예정공정표" xfId="511" xr:uid="{00000000-0005-0000-0000-000048050000}"/>
    <cellStyle name="_대곡이설(투찰)_양곡부두(투찰)-0.31%_합덕-신례원(2공구)투찰_봉무지방산업단지도로(투찰)②+0.250%_마현생창(동양고속)_왜관-태평건설" xfId="512" xr:uid="{00000000-0005-0000-0000-000049050000}"/>
    <cellStyle name="_대곡이설(투찰)_양곡부두(투찰)-0.31%_합덕-신례원(2공구)투찰_봉무지방산업단지도로(투찰)②+0.250%_마현생창(동양고속)_왜관-태평건설_예정공정표" xfId="513" xr:uid="{00000000-0005-0000-0000-00004A050000}"/>
    <cellStyle name="_대곡이설(투찰)_양곡부두(투찰)-0.31%_합덕-신례원(2공구)투찰_봉무지방산업단지도로(투찰)②+0.250%_예정공정표" xfId="514" xr:uid="{00000000-0005-0000-0000-00004B050000}"/>
    <cellStyle name="_대곡이설(투찰)_양곡부두(투찰)-0.31%_합덕-신례원(2공구)투찰_봉무지방산업단지도로(투찰)②+0.250%_왜관-태평건설" xfId="515" xr:uid="{00000000-0005-0000-0000-00004C050000}"/>
    <cellStyle name="_대곡이설(투찰)_양곡부두(투찰)-0.31%_합덕-신례원(2공구)투찰_봉무지방산업단지도로(투찰)②+0.250%_왜관-태평건설_예정공정표" xfId="516" xr:uid="{00000000-0005-0000-0000-00004D050000}"/>
    <cellStyle name="_대곡이설(투찰)_양곡부두(투찰)-0.31%_합덕-신례원(2공구)투찰_예정공정표" xfId="517" xr:uid="{00000000-0005-0000-0000-00004E050000}"/>
    <cellStyle name="_대곡이설(투찰)_양곡부두(투찰)-0.31%_합덕-신례원(2공구)투찰_왜관-태평건설" xfId="518" xr:uid="{00000000-0005-0000-0000-00004F050000}"/>
    <cellStyle name="_대곡이설(투찰)_양곡부두(투찰)-0.31%_합덕-신례원(2공구)투찰_왜관-태평건설_예정공정표" xfId="519" xr:uid="{00000000-0005-0000-0000-000050050000}"/>
    <cellStyle name="_대곡이설(투찰)_양곡부두(투찰)-0.31%_합덕-신례원(2공구)투찰_합덕-신례원(2공구)투찰" xfId="520" xr:uid="{00000000-0005-0000-0000-000051050000}"/>
    <cellStyle name="_대곡이설(투찰)_양곡부두(투찰)-0.31%_합덕-신례원(2공구)투찰_합덕-신례원(2공구)투찰_경찰서-터미널간도로(투찰)②" xfId="521" xr:uid="{00000000-0005-0000-0000-000052050000}"/>
    <cellStyle name="_대곡이설(투찰)_양곡부두(투찰)-0.31%_합덕-신례원(2공구)투찰_합덕-신례원(2공구)투찰_경찰서-터미널간도로(투찰)②_마현생창(동양고속)" xfId="522" xr:uid="{00000000-0005-0000-0000-000053050000}"/>
    <cellStyle name="_대곡이설(투찰)_양곡부두(투찰)-0.31%_합덕-신례원(2공구)투찰_합덕-신례원(2공구)투찰_경찰서-터미널간도로(투찰)②_마현생창(동양고속)_예정공정표" xfId="523" xr:uid="{00000000-0005-0000-0000-000054050000}"/>
    <cellStyle name="_대곡이설(투찰)_양곡부두(투찰)-0.31%_합덕-신례원(2공구)투찰_합덕-신례원(2공구)투찰_경찰서-터미널간도로(투찰)②_마현생창(동양고속)_왜관-태평건설" xfId="524" xr:uid="{00000000-0005-0000-0000-000055050000}"/>
    <cellStyle name="_대곡이설(투찰)_양곡부두(투찰)-0.31%_합덕-신례원(2공구)투찰_합덕-신례원(2공구)투찰_경찰서-터미널간도로(투찰)②_마현생창(동양고속)_왜관-태평건설_예정공정표" xfId="525" xr:uid="{00000000-0005-0000-0000-000056050000}"/>
    <cellStyle name="_대곡이설(투찰)_양곡부두(투찰)-0.31%_합덕-신례원(2공구)투찰_합덕-신례원(2공구)투찰_경찰서-터미널간도로(투찰)②_예정공정표" xfId="526" xr:uid="{00000000-0005-0000-0000-000057050000}"/>
    <cellStyle name="_대곡이설(투찰)_양곡부두(투찰)-0.31%_합덕-신례원(2공구)투찰_합덕-신례원(2공구)투찰_경찰서-터미널간도로(투찰)②_왜관-태평건설" xfId="527" xr:uid="{00000000-0005-0000-0000-000058050000}"/>
    <cellStyle name="_대곡이설(투찰)_양곡부두(투찰)-0.31%_합덕-신례원(2공구)투찰_합덕-신례원(2공구)투찰_경찰서-터미널간도로(투찰)②_왜관-태평건설_예정공정표" xfId="528" xr:uid="{00000000-0005-0000-0000-000059050000}"/>
    <cellStyle name="_대곡이설(투찰)_양곡부두(투찰)-0.31%_합덕-신례원(2공구)투찰_합덕-신례원(2공구)투찰_마현생창(동양고속)" xfId="529" xr:uid="{00000000-0005-0000-0000-00005A050000}"/>
    <cellStyle name="_대곡이설(투찰)_양곡부두(투찰)-0.31%_합덕-신례원(2공구)투찰_합덕-신례원(2공구)투찰_마현생창(동양고속)_예정공정표" xfId="530" xr:uid="{00000000-0005-0000-0000-00005B050000}"/>
    <cellStyle name="_대곡이설(투찰)_양곡부두(투찰)-0.31%_합덕-신례원(2공구)투찰_합덕-신례원(2공구)투찰_마현생창(동양고속)_왜관-태평건설" xfId="531" xr:uid="{00000000-0005-0000-0000-00005C050000}"/>
    <cellStyle name="_대곡이설(투찰)_양곡부두(투찰)-0.31%_합덕-신례원(2공구)투찰_합덕-신례원(2공구)투찰_마현생창(동양고속)_왜관-태평건설_예정공정표" xfId="532" xr:uid="{00000000-0005-0000-0000-00005D050000}"/>
    <cellStyle name="_대곡이설(투찰)_양곡부두(투찰)-0.31%_합덕-신례원(2공구)투찰_합덕-신례원(2공구)투찰_봉무지방산업단지도로(투찰)②" xfId="533" xr:uid="{00000000-0005-0000-0000-00005E050000}"/>
    <cellStyle name="_대곡이설(투찰)_양곡부두(투찰)-0.31%_합덕-신례원(2공구)투찰_합덕-신례원(2공구)투찰_봉무지방산업단지도로(투찰)②_마현생창(동양고속)" xfId="534" xr:uid="{00000000-0005-0000-0000-00005F050000}"/>
    <cellStyle name="_대곡이설(투찰)_양곡부두(투찰)-0.31%_합덕-신례원(2공구)투찰_합덕-신례원(2공구)투찰_봉무지방산업단지도로(투찰)②_마현생창(동양고속)_예정공정표" xfId="535" xr:uid="{00000000-0005-0000-0000-000060050000}"/>
    <cellStyle name="_대곡이설(투찰)_양곡부두(투찰)-0.31%_합덕-신례원(2공구)투찰_합덕-신례원(2공구)투찰_봉무지방산업단지도로(투찰)②_마현생창(동양고속)_왜관-태평건설" xfId="536" xr:uid="{00000000-0005-0000-0000-000061050000}"/>
    <cellStyle name="_대곡이설(투찰)_양곡부두(투찰)-0.31%_합덕-신례원(2공구)투찰_합덕-신례원(2공구)투찰_봉무지방산업단지도로(투찰)②_마현생창(동양고속)_왜관-태평건설_예정공정표" xfId="537" xr:uid="{00000000-0005-0000-0000-000062050000}"/>
    <cellStyle name="_대곡이설(투찰)_양곡부두(투찰)-0.31%_합덕-신례원(2공구)투찰_합덕-신례원(2공구)투찰_봉무지방산업단지도로(투찰)②_예정공정표" xfId="538" xr:uid="{00000000-0005-0000-0000-000063050000}"/>
    <cellStyle name="_대곡이설(투찰)_양곡부두(투찰)-0.31%_합덕-신례원(2공구)투찰_합덕-신례원(2공구)투찰_봉무지방산업단지도로(투찰)②_왜관-태평건설" xfId="539" xr:uid="{00000000-0005-0000-0000-000064050000}"/>
    <cellStyle name="_대곡이설(투찰)_양곡부두(투찰)-0.31%_합덕-신례원(2공구)투찰_합덕-신례원(2공구)투찰_봉무지방산업단지도로(투찰)②_왜관-태평건설_예정공정표" xfId="540" xr:uid="{00000000-0005-0000-0000-000065050000}"/>
    <cellStyle name="_대곡이설(투찰)_양곡부두(투찰)-0.31%_합덕-신례원(2공구)투찰_합덕-신례원(2공구)투찰_봉무지방산업단지도로(투찰)②+0.250%" xfId="541" xr:uid="{00000000-0005-0000-0000-000066050000}"/>
    <cellStyle name="_대곡이설(투찰)_양곡부두(투찰)-0.31%_합덕-신례원(2공구)투찰_합덕-신례원(2공구)투찰_봉무지방산업단지도로(투찰)②+0.250%_마현생창(동양고속)" xfId="542" xr:uid="{00000000-0005-0000-0000-000067050000}"/>
    <cellStyle name="_대곡이설(투찰)_양곡부두(투찰)-0.31%_합덕-신례원(2공구)투찰_합덕-신례원(2공구)투찰_봉무지방산업단지도로(투찰)②+0.250%_마현생창(동양고속)_예정공정표" xfId="543" xr:uid="{00000000-0005-0000-0000-000068050000}"/>
    <cellStyle name="_대곡이설(투찰)_양곡부두(투찰)-0.31%_합덕-신례원(2공구)투찰_합덕-신례원(2공구)투찰_봉무지방산업단지도로(투찰)②+0.250%_마현생창(동양고속)_왜관-태평건설" xfId="544" xr:uid="{00000000-0005-0000-0000-000069050000}"/>
    <cellStyle name="_대곡이설(투찰)_양곡부두(투찰)-0.31%_합덕-신례원(2공구)투찰_합덕-신례원(2공구)투찰_봉무지방산업단지도로(투찰)②+0.250%_마현생창(동양고속)_왜관-태평건설_예정공정표" xfId="545" xr:uid="{00000000-0005-0000-0000-00006A050000}"/>
    <cellStyle name="_대곡이설(투찰)_양곡부두(투찰)-0.31%_합덕-신례원(2공구)투찰_합덕-신례원(2공구)투찰_봉무지방산업단지도로(투찰)②+0.250%_예정공정표" xfId="546" xr:uid="{00000000-0005-0000-0000-00006B050000}"/>
    <cellStyle name="_대곡이설(투찰)_양곡부두(투찰)-0.31%_합덕-신례원(2공구)투찰_합덕-신례원(2공구)투찰_봉무지방산업단지도로(투찰)②+0.250%_왜관-태평건설" xfId="547" xr:uid="{00000000-0005-0000-0000-00006C050000}"/>
    <cellStyle name="_대곡이설(투찰)_양곡부두(투찰)-0.31%_합덕-신례원(2공구)투찰_합덕-신례원(2공구)투찰_봉무지방산업단지도로(투찰)②+0.250%_왜관-태평건설_예정공정표" xfId="548" xr:uid="{00000000-0005-0000-0000-00006D050000}"/>
    <cellStyle name="_대곡이설(투찰)_양곡부두(투찰)-0.31%_합덕-신례원(2공구)투찰_합덕-신례원(2공구)투찰_예정공정표" xfId="549" xr:uid="{00000000-0005-0000-0000-00006E050000}"/>
    <cellStyle name="_대곡이설(투찰)_양곡부두(투찰)-0.31%_합덕-신례원(2공구)투찰_합덕-신례원(2공구)투찰_왜관-태평건설" xfId="550" xr:uid="{00000000-0005-0000-0000-00006F050000}"/>
    <cellStyle name="_대곡이설(투찰)_양곡부두(투찰)-0.31%_합덕-신례원(2공구)투찰_합덕-신례원(2공구)투찰_왜관-태평건설_예정공정표" xfId="551" xr:uid="{00000000-0005-0000-0000-000070050000}"/>
    <cellStyle name="_대곡이설(투찰)_예정공정표" xfId="552" xr:uid="{00000000-0005-0000-0000-000071050000}"/>
    <cellStyle name="_대곡이설(투찰)_왜관-태평건설" xfId="553" xr:uid="{00000000-0005-0000-0000-000072050000}"/>
    <cellStyle name="_대곡이설(투찰)_왜관-태평건설_예정공정표" xfId="554" xr:uid="{00000000-0005-0000-0000-000073050000}"/>
    <cellStyle name="_대곡이설(투찰)_창원상수도(토목)투찰" xfId="555" xr:uid="{00000000-0005-0000-0000-000074050000}"/>
    <cellStyle name="_대곡이설(투찰)_창원상수도(토목)투찰_경찰서-터미널간도로(투찰)②" xfId="556" xr:uid="{00000000-0005-0000-0000-000075050000}"/>
    <cellStyle name="_대곡이설(투찰)_창원상수도(토목)투찰_경찰서-터미널간도로(투찰)②_마현생창(동양고속)" xfId="557" xr:uid="{00000000-0005-0000-0000-000076050000}"/>
    <cellStyle name="_대곡이설(투찰)_창원상수도(토목)투찰_경찰서-터미널간도로(투찰)②_마현생창(동양고속)_예정공정표" xfId="558" xr:uid="{00000000-0005-0000-0000-000077050000}"/>
    <cellStyle name="_대곡이설(투찰)_창원상수도(토목)투찰_경찰서-터미널간도로(투찰)②_마현생창(동양고속)_왜관-태평건설" xfId="559" xr:uid="{00000000-0005-0000-0000-000078050000}"/>
    <cellStyle name="_대곡이설(투찰)_창원상수도(토목)투찰_경찰서-터미널간도로(투찰)②_마현생창(동양고속)_왜관-태평건설_예정공정표" xfId="560" xr:uid="{00000000-0005-0000-0000-000079050000}"/>
    <cellStyle name="_대곡이설(투찰)_창원상수도(토목)투찰_경찰서-터미널간도로(투찰)②_예정공정표" xfId="561" xr:uid="{00000000-0005-0000-0000-00007A050000}"/>
    <cellStyle name="_대곡이설(투찰)_창원상수도(토목)투찰_경찰서-터미널간도로(투찰)②_왜관-태평건설" xfId="562" xr:uid="{00000000-0005-0000-0000-00007B050000}"/>
    <cellStyle name="_대곡이설(투찰)_창원상수도(토목)투찰_경찰서-터미널간도로(투찰)②_왜관-태평건설_예정공정표" xfId="563" xr:uid="{00000000-0005-0000-0000-00007C050000}"/>
    <cellStyle name="_대곡이설(투찰)_창원상수도(토목)투찰_마현생창(동양고속)" xfId="564" xr:uid="{00000000-0005-0000-0000-00007D050000}"/>
    <cellStyle name="_대곡이설(투찰)_창원상수도(토목)투찰_마현생창(동양고속)_예정공정표" xfId="565" xr:uid="{00000000-0005-0000-0000-00007E050000}"/>
    <cellStyle name="_대곡이설(투찰)_창원상수도(토목)투찰_마현생창(동양고속)_왜관-태평건설" xfId="566" xr:uid="{00000000-0005-0000-0000-00007F050000}"/>
    <cellStyle name="_대곡이설(투찰)_창원상수도(토목)투찰_마현생창(동양고속)_왜관-태평건설_예정공정표" xfId="567" xr:uid="{00000000-0005-0000-0000-000080050000}"/>
    <cellStyle name="_대곡이설(투찰)_창원상수도(토목)투찰_봉무지방산업단지도로(투찰)②" xfId="568" xr:uid="{00000000-0005-0000-0000-000081050000}"/>
    <cellStyle name="_대곡이설(투찰)_창원상수도(토목)투찰_봉무지방산업단지도로(투찰)②_마현생창(동양고속)" xfId="569" xr:uid="{00000000-0005-0000-0000-000082050000}"/>
    <cellStyle name="_대곡이설(투찰)_창원상수도(토목)투찰_봉무지방산업단지도로(투찰)②_마현생창(동양고속)_예정공정표" xfId="570" xr:uid="{00000000-0005-0000-0000-000083050000}"/>
    <cellStyle name="_대곡이설(투찰)_창원상수도(토목)투찰_봉무지방산업단지도로(투찰)②_마현생창(동양고속)_왜관-태평건설" xfId="571" xr:uid="{00000000-0005-0000-0000-000084050000}"/>
    <cellStyle name="_대곡이설(투찰)_창원상수도(토목)투찰_봉무지방산업단지도로(투찰)②_마현생창(동양고속)_왜관-태평건설_예정공정표" xfId="572" xr:uid="{00000000-0005-0000-0000-000085050000}"/>
    <cellStyle name="_대곡이설(투찰)_창원상수도(토목)투찰_봉무지방산업단지도로(투찰)②_예정공정표" xfId="573" xr:uid="{00000000-0005-0000-0000-000086050000}"/>
    <cellStyle name="_대곡이설(투찰)_창원상수도(토목)투찰_봉무지방산업단지도로(투찰)②_왜관-태평건설" xfId="574" xr:uid="{00000000-0005-0000-0000-000087050000}"/>
    <cellStyle name="_대곡이설(투찰)_창원상수도(토목)투찰_봉무지방산업단지도로(투찰)②_왜관-태평건설_예정공정표" xfId="575" xr:uid="{00000000-0005-0000-0000-000088050000}"/>
    <cellStyle name="_대곡이설(투찰)_창원상수도(토목)투찰_봉무지방산업단지도로(투찰)②+0.250%" xfId="576" xr:uid="{00000000-0005-0000-0000-000089050000}"/>
    <cellStyle name="_대곡이설(투찰)_창원상수도(토목)투찰_봉무지방산업단지도로(투찰)②+0.250%_마현생창(동양고속)" xfId="577" xr:uid="{00000000-0005-0000-0000-00008A050000}"/>
    <cellStyle name="_대곡이설(투찰)_창원상수도(토목)투찰_봉무지방산업단지도로(투찰)②+0.250%_마현생창(동양고속)_예정공정표" xfId="578" xr:uid="{00000000-0005-0000-0000-00008B050000}"/>
    <cellStyle name="_대곡이설(투찰)_창원상수도(토목)투찰_봉무지방산업단지도로(투찰)②+0.250%_마현생창(동양고속)_왜관-태평건설" xfId="579" xr:uid="{00000000-0005-0000-0000-00008C050000}"/>
    <cellStyle name="_대곡이설(투찰)_창원상수도(토목)투찰_봉무지방산업단지도로(투찰)②+0.250%_마현생창(동양고속)_왜관-태평건설_예정공정표" xfId="580" xr:uid="{00000000-0005-0000-0000-00008D050000}"/>
    <cellStyle name="_대곡이설(투찰)_창원상수도(토목)투찰_봉무지방산업단지도로(투찰)②+0.250%_예정공정표" xfId="581" xr:uid="{00000000-0005-0000-0000-00008E050000}"/>
    <cellStyle name="_대곡이설(투찰)_창원상수도(토목)투찰_봉무지방산업단지도로(투찰)②+0.250%_왜관-태평건설" xfId="582" xr:uid="{00000000-0005-0000-0000-00008F050000}"/>
    <cellStyle name="_대곡이설(투찰)_창원상수도(토목)투찰_봉무지방산업단지도로(투찰)②+0.250%_왜관-태평건설_예정공정표" xfId="583" xr:uid="{00000000-0005-0000-0000-000090050000}"/>
    <cellStyle name="_대곡이설(투찰)_창원상수도(토목)투찰_예정공정표" xfId="584" xr:uid="{00000000-0005-0000-0000-000091050000}"/>
    <cellStyle name="_대곡이설(투찰)_창원상수도(토목)투찰_왜관-태평건설" xfId="585" xr:uid="{00000000-0005-0000-0000-000092050000}"/>
    <cellStyle name="_대곡이설(투찰)_창원상수도(토목)투찰_왜관-태평건설_예정공정표" xfId="586" xr:uid="{00000000-0005-0000-0000-000093050000}"/>
    <cellStyle name="_대곡이설(투찰)_창원상수도(토목)투찰_합덕-신례원(2공구)투찰" xfId="587" xr:uid="{00000000-0005-0000-0000-000094050000}"/>
    <cellStyle name="_대곡이설(투찰)_창원상수도(토목)투찰_합덕-신례원(2공구)투찰_경찰서-터미널간도로(투찰)②" xfId="588" xr:uid="{00000000-0005-0000-0000-000095050000}"/>
    <cellStyle name="_대곡이설(투찰)_창원상수도(토목)투찰_합덕-신례원(2공구)투찰_경찰서-터미널간도로(투찰)②_마현생창(동양고속)" xfId="589" xr:uid="{00000000-0005-0000-0000-000096050000}"/>
    <cellStyle name="_대곡이설(투찰)_창원상수도(토목)투찰_합덕-신례원(2공구)투찰_경찰서-터미널간도로(투찰)②_마현생창(동양고속)_예정공정표" xfId="590" xr:uid="{00000000-0005-0000-0000-000097050000}"/>
    <cellStyle name="_대곡이설(투찰)_창원상수도(토목)투찰_합덕-신례원(2공구)투찰_경찰서-터미널간도로(투찰)②_마현생창(동양고속)_왜관-태평건설" xfId="591" xr:uid="{00000000-0005-0000-0000-000098050000}"/>
    <cellStyle name="_대곡이설(투찰)_창원상수도(토목)투찰_합덕-신례원(2공구)투찰_경찰서-터미널간도로(투찰)②_마현생창(동양고속)_왜관-태평건설_예정공정표" xfId="592" xr:uid="{00000000-0005-0000-0000-000099050000}"/>
    <cellStyle name="_대곡이설(투찰)_창원상수도(토목)투찰_합덕-신례원(2공구)투찰_경찰서-터미널간도로(투찰)②_예정공정표" xfId="593" xr:uid="{00000000-0005-0000-0000-00009A050000}"/>
    <cellStyle name="_대곡이설(투찰)_창원상수도(토목)투찰_합덕-신례원(2공구)투찰_경찰서-터미널간도로(투찰)②_왜관-태평건설" xfId="594" xr:uid="{00000000-0005-0000-0000-00009B050000}"/>
    <cellStyle name="_대곡이설(투찰)_창원상수도(토목)투찰_합덕-신례원(2공구)투찰_경찰서-터미널간도로(투찰)②_왜관-태평건설_예정공정표" xfId="595" xr:uid="{00000000-0005-0000-0000-00009C050000}"/>
    <cellStyle name="_대곡이설(투찰)_창원상수도(토목)투찰_합덕-신례원(2공구)투찰_마현생창(동양고속)" xfId="596" xr:uid="{00000000-0005-0000-0000-00009D050000}"/>
    <cellStyle name="_대곡이설(투찰)_창원상수도(토목)투찰_합덕-신례원(2공구)투찰_마현생창(동양고속)_예정공정표" xfId="597" xr:uid="{00000000-0005-0000-0000-00009E050000}"/>
    <cellStyle name="_대곡이설(투찰)_창원상수도(토목)투찰_합덕-신례원(2공구)투찰_마현생창(동양고속)_왜관-태평건설" xfId="598" xr:uid="{00000000-0005-0000-0000-00009F050000}"/>
    <cellStyle name="_대곡이설(투찰)_창원상수도(토목)투찰_합덕-신례원(2공구)투찰_마현생창(동양고속)_왜관-태평건설_예정공정표" xfId="599" xr:uid="{00000000-0005-0000-0000-0000A0050000}"/>
    <cellStyle name="_대곡이설(투찰)_창원상수도(토목)투찰_합덕-신례원(2공구)투찰_봉무지방산업단지도로(투찰)②" xfId="600" xr:uid="{00000000-0005-0000-0000-0000A1050000}"/>
    <cellStyle name="_대곡이설(투찰)_창원상수도(토목)투찰_합덕-신례원(2공구)투찰_봉무지방산업단지도로(투찰)②_마현생창(동양고속)" xfId="601" xr:uid="{00000000-0005-0000-0000-0000A2050000}"/>
    <cellStyle name="_대곡이설(투찰)_창원상수도(토목)투찰_합덕-신례원(2공구)투찰_봉무지방산업단지도로(투찰)②_마현생창(동양고속)_예정공정표" xfId="602" xr:uid="{00000000-0005-0000-0000-0000A3050000}"/>
    <cellStyle name="_대곡이설(투찰)_창원상수도(토목)투찰_합덕-신례원(2공구)투찰_봉무지방산업단지도로(투찰)②_마현생창(동양고속)_왜관-태평건설" xfId="603" xr:uid="{00000000-0005-0000-0000-0000A4050000}"/>
    <cellStyle name="_대곡이설(투찰)_창원상수도(토목)투찰_합덕-신례원(2공구)투찰_봉무지방산업단지도로(투찰)②_마현생창(동양고속)_왜관-태평건설_예정공정표" xfId="604" xr:uid="{00000000-0005-0000-0000-0000A5050000}"/>
    <cellStyle name="_대곡이설(투찰)_창원상수도(토목)투찰_합덕-신례원(2공구)투찰_봉무지방산업단지도로(투찰)②_예정공정표" xfId="605" xr:uid="{00000000-0005-0000-0000-0000A6050000}"/>
    <cellStyle name="_대곡이설(투찰)_창원상수도(토목)투찰_합덕-신례원(2공구)투찰_봉무지방산업단지도로(투찰)②_왜관-태평건설" xfId="606" xr:uid="{00000000-0005-0000-0000-0000A7050000}"/>
    <cellStyle name="_대곡이설(투찰)_창원상수도(토목)투찰_합덕-신례원(2공구)투찰_봉무지방산업단지도로(투찰)②_왜관-태평건설_예정공정표" xfId="607" xr:uid="{00000000-0005-0000-0000-0000A8050000}"/>
    <cellStyle name="_대곡이설(투찰)_창원상수도(토목)투찰_합덕-신례원(2공구)투찰_봉무지방산업단지도로(투찰)②+0.250%" xfId="608" xr:uid="{00000000-0005-0000-0000-0000A9050000}"/>
    <cellStyle name="_대곡이설(투찰)_창원상수도(토목)투찰_합덕-신례원(2공구)투찰_봉무지방산업단지도로(투찰)②+0.250%_마현생창(동양고속)" xfId="609" xr:uid="{00000000-0005-0000-0000-0000AA050000}"/>
    <cellStyle name="_대곡이설(투찰)_창원상수도(토목)투찰_합덕-신례원(2공구)투찰_봉무지방산업단지도로(투찰)②+0.250%_마현생창(동양고속)_예정공정표" xfId="610" xr:uid="{00000000-0005-0000-0000-0000AB050000}"/>
    <cellStyle name="_대곡이설(투찰)_창원상수도(토목)투찰_합덕-신례원(2공구)투찰_봉무지방산업단지도로(투찰)②+0.250%_마현생창(동양고속)_왜관-태평건설" xfId="611" xr:uid="{00000000-0005-0000-0000-0000AC050000}"/>
    <cellStyle name="_대곡이설(투찰)_창원상수도(토목)투찰_합덕-신례원(2공구)투찰_봉무지방산업단지도로(투찰)②+0.250%_마현생창(동양고속)_왜관-태평건설_예정공정표" xfId="612" xr:uid="{00000000-0005-0000-0000-0000AD050000}"/>
    <cellStyle name="_대곡이설(투찰)_창원상수도(토목)투찰_합덕-신례원(2공구)투찰_봉무지방산업단지도로(투찰)②+0.250%_예정공정표" xfId="613" xr:uid="{00000000-0005-0000-0000-0000AE050000}"/>
    <cellStyle name="_대곡이설(투찰)_창원상수도(토목)투찰_합덕-신례원(2공구)투찰_봉무지방산업단지도로(투찰)②+0.250%_왜관-태평건설" xfId="614" xr:uid="{00000000-0005-0000-0000-0000AF050000}"/>
    <cellStyle name="_대곡이설(투찰)_창원상수도(토목)투찰_합덕-신례원(2공구)투찰_봉무지방산업단지도로(투찰)②+0.250%_왜관-태평건설_예정공정표" xfId="615" xr:uid="{00000000-0005-0000-0000-0000B0050000}"/>
    <cellStyle name="_대곡이설(투찰)_창원상수도(토목)투찰_합덕-신례원(2공구)투찰_예정공정표" xfId="616" xr:uid="{00000000-0005-0000-0000-0000B1050000}"/>
    <cellStyle name="_대곡이설(투찰)_창원상수도(토목)투찰_합덕-신례원(2공구)투찰_왜관-태평건설" xfId="617" xr:uid="{00000000-0005-0000-0000-0000B2050000}"/>
    <cellStyle name="_대곡이설(투찰)_창원상수도(토목)투찰_합덕-신례원(2공구)투찰_왜관-태평건설_예정공정표" xfId="618" xr:uid="{00000000-0005-0000-0000-0000B3050000}"/>
    <cellStyle name="_대곡이설(투찰)_창원상수도(토목)투찰_합덕-신례원(2공구)투찰_합덕-신례원(2공구)투찰" xfId="619" xr:uid="{00000000-0005-0000-0000-0000B4050000}"/>
    <cellStyle name="_대곡이설(투찰)_창원상수도(토목)투찰_합덕-신례원(2공구)투찰_합덕-신례원(2공구)투찰_경찰서-터미널간도로(투찰)②" xfId="620" xr:uid="{00000000-0005-0000-0000-0000B5050000}"/>
    <cellStyle name="_대곡이설(투찰)_창원상수도(토목)투찰_합덕-신례원(2공구)투찰_합덕-신례원(2공구)투찰_경찰서-터미널간도로(투찰)②_마현생창(동양고속)" xfId="621" xr:uid="{00000000-0005-0000-0000-0000B6050000}"/>
    <cellStyle name="_대곡이설(투찰)_창원상수도(토목)투찰_합덕-신례원(2공구)투찰_합덕-신례원(2공구)투찰_경찰서-터미널간도로(투찰)②_마현생창(동양고속)_예정공정표" xfId="622" xr:uid="{00000000-0005-0000-0000-0000B7050000}"/>
    <cellStyle name="_대곡이설(투찰)_창원상수도(토목)투찰_합덕-신례원(2공구)투찰_합덕-신례원(2공구)투찰_경찰서-터미널간도로(투찰)②_마현생창(동양고속)_왜관-태평건설" xfId="623" xr:uid="{00000000-0005-0000-0000-0000B8050000}"/>
    <cellStyle name="_대곡이설(투찰)_창원상수도(토목)투찰_합덕-신례원(2공구)투찰_합덕-신례원(2공구)투찰_경찰서-터미널간도로(투찰)②_마현생창(동양고속)_왜관-태평건설_예정공정표" xfId="624" xr:uid="{00000000-0005-0000-0000-0000B9050000}"/>
    <cellStyle name="_대곡이설(투찰)_창원상수도(토목)투찰_합덕-신례원(2공구)투찰_합덕-신례원(2공구)투찰_경찰서-터미널간도로(투찰)②_예정공정표" xfId="625" xr:uid="{00000000-0005-0000-0000-0000BA050000}"/>
    <cellStyle name="_대곡이설(투찰)_창원상수도(토목)투찰_합덕-신례원(2공구)투찰_합덕-신례원(2공구)투찰_경찰서-터미널간도로(투찰)②_왜관-태평건설" xfId="626" xr:uid="{00000000-0005-0000-0000-0000BB050000}"/>
    <cellStyle name="_대곡이설(투찰)_창원상수도(토목)투찰_합덕-신례원(2공구)투찰_합덕-신례원(2공구)투찰_경찰서-터미널간도로(투찰)②_왜관-태평건설_예정공정표" xfId="627" xr:uid="{00000000-0005-0000-0000-0000BC050000}"/>
    <cellStyle name="_대곡이설(투찰)_창원상수도(토목)투찰_합덕-신례원(2공구)투찰_합덕-신례원(2공구)투찰_마현생창(동양고속)" xfId="628" xr:uid="{00000000-0005-0000-0000-0000BD050000}"/>
    <cellStyle name="_대곡이설(투찰)_창원상수도(토목)투찰_합덕-신례원(2공구)투찰_합덕-신례원(2공구)투찰_마현생창(동양고속)_예정공정표" xfId="629" xr:uid="{00000000-0005-0000-0000-0000BE050000}"/>
    <cellStyle name="_대곡이설(투찰)_창원상수도(토목)투찰_합덕-신례원(2공구)투찰_합덕-신례원(2공구)투찰_마현생창(동양고속)_왜관-태평건설" xfId="630" xr:uid="{00000000-0005-0000-0000-0000BF050000}"/>
    <cellStyle name="_대곡이설(투찰)_창원상수도(토목)투찰_합덕-신례원(2공구)투찰_합덕-신례원(2공구)투찰_마현생창(동양고속)_왜관-태평건설_예정공정표" xfId="631" xr:uid="{00000000-0005-0000-0000-0000C0050000}"/>
    <cellStyle name="_대곡이설(투찰)_창원상수도(토목)투찰_합덕-신례원(2공구)투찰_합덕-신례원(2공구)투찰_봉무지방산업단지도로(투찰)②" xfId="632" xr:uid="{00000000-0005-0000-0000-0000C1050000}"/>
    <cellStyle name="_대곡이설(투찰)_창원상수도(토목)투찰_합덕-신례원(2공구)투찰_합덕-신례원(2공구)투찰_봉무지방산업단지도로(투찰)②_마현생창(동양고속)" xfId="633" xr:uid="{00000000-0005-0000-0000-0000C2050000}"/>
    <cellStyle name="_대곡이설(투찰)_창원상수도(토목)투찰_합덕-신례원(2공구)투찰_합덕-신례원(2공구)투찰_봉무지방산업단지도로(투찰)②_마현생창(동양고속)_예정공정표" xfId="634" xr:uid="{00000000-0005-0000-0000-0000C3050000}"/>
    <cellStyle name="_대곡이설(투찰)_창원상수도(토목)투찰_합덕-신례원(2공구)투찰_합덕-신례원(2공구)투찰_봉무지방산업단지도로(투찰)②_마현생창(동양고속)_왜관-태평건설" xfId="635" xr:uid="{00000000-0005-0000-0000-0000C4050000}"/>
    <cellStyle name="_대곡이설(투찰)_창원상수도(토목)투찰_합덕-신례원(2공구)투찰_합덕-신례원(2공구)투찰_봉무지방산업단지도로(투찰)②_마현생창(동양고속)_왜관-태평건설_예정공정표" xfId="636" xr:uid="{00000000-0005-0000-0000-0000C5050000}"/>
    <cellStyle name="_대곡이설(투찰)_창원상수도(토목)투찰_합덕-신례원(2공구)투찰_합덕-신례원(2공구)투찰_봉무지방산업단지도로(투찰)②_예정공정표" xfId="637" xr:uid="{00000000-0005-0000-0000-0000C6050000}"/>
    <cellStyle name="_대곡이설(투찰)_창원상수도(토목)투찰_합덕-신례원(2공구)투찰_합덕-신례원(2공구)투찰_봉무지방산업단지도로(투찰)②_왜관-태평건설" xfId="638" xr:uid="{00000000-0005-0000-0000-0000C7050000}"/>
    <cellStyle name="_대곡이설(투찰)_창원상수도(토목)투찰_합덕-신례원(2공구)투찰_합덕-신례원(2공구)투찰_봉무지방산업단지도로(투찰)②_왜관-태평건설_예정공정표" xfId="639" xr:uid="{00000000-0005-0000-0000-0000C8050000}"/>
    <cellStyle name="_대곡이설(투찰)_창원상수도(토목)투찰_합덕-신례원(2공구)투찰_합덕-신례원(2공구)투찰_봉무지방산업단지도로(투찰)②+0.250%" xfId="640" xr:uid="{00000000-0005-0000-0000-0000C9050000}"/>
    <cellStyle name="_대곡이설(투찰)_창원상수도(토목)투찰_합덕-신례원(2공구)투찰_합덕-신례원(2공구)투찰_봉무지방산업단지도로(투찰)②+0.250%_마현생창(동양고속)" xfId="641" xr:uid="{00000000-0005-0000-0000-0000CA050000}"/>
    <cellStyle name="_대곡이설(투찰)_창원상수도(토목)투찰_합덕-신례원(2공구)투찰_합덕-신례원(2공구)투찰_봉무지방산업단지도로(투찰)②+0.250%_마현생창(동양고속)_예정공정표" xfId="642" xr:uid="{00000000-0005-0000-0000-0000CB050000}"/>
    <cellStyle name="_대곡이설(투찰)_창원상수도(토목)투찰_합덕-신례원(2공구)투찰_합덕-신례원(2공구)투찰_봉무지방산업단지도로(투찰)②+0.250%_마현생창(동양고속)_왜관-태평건설" xfId="643" xr:uid="{00000000-0005-0000-0000-0000CC050000}"/>
    <cellStyle name="_대곡이설(투찰)_창원상수도(토목)투찰_합덕-신례원(2공구)투찰_합덕-신례원(2공구)투찰_봉무지방산업단지도로(투찰)②+0.250%_마현생창(동양고속)_왜관-태평건설_예정공정표" xfId="644" xr:uid="{00000000-0005-0000-0000-0000CD050000}"/>
    <cellStyle name="_대곡이설(투찰)_창원상수도(토목)투찰_합덕-신례원(2공구)투찰_합덕-신례원(2공구)투찰_봉무지방산업단지도로(투찰)②+0.250%_예정공정표" xfId="645" xr:uid="{00000000-0005-0000-0000-0000CE050000}"/>
    <cellStyle name="_대곡이설(투찰)_창원상수도(토목)투찰_합덕-신례원(2공구)투찰_합덕-신례원(2공구)투찰_봉무지방산업단지도로(투찰)②+0.250%_왜관-태평건설" xfId="646" xr:uid="{00000000-0005-0000-0000-0000CF050000}"/>
    <cellStyle name="_대곡이설(투찰)_창원상수도(토목)투찰_합덕-신례원(2공구)투찰_합덕-신례원(2공구)투찰_봉무지방산업단지도로(투찰)②+0.250%_왜관-태평건설_예정공정표" xfId="647" xr:uid="{00000000-0005-0000-0000-0000D0050000}"/>
    <cellStyle name="_대곡이설(투찰)_창원상수도(토목)투찰_합덕-신례원(2공구)투찰_합덕-신례원(2공구)투찰_예정공정표" xfId="648" xr:uid="{00000000-0005-0000-0000-0000D1050000}"/>
    <cellStyle name="_대곡이설(투찰)_창원상수도(토목)투찰_합덕-신례원(2공구)투찰_합덕-신례원(2공구)투찰_왜관-태평건설" xfId="649" xr:uid="{00000000-0005-0000-0000-0000D2050000}"/>
    <cellStyle name="_대곡이설(투찰)_창원상수도(토목)투찰_합덕-신례원(2공구)투찰_합덕-신례원(2공구)투찰_왜관-태평건설_예정공정표" xfId="650" xr:uid="{00000000-0005-0000-0000-0000D3050000}"/>
    <cellStyle name="_대곡이설(투찰)_합덕-신례원(2공구)투찰" xfId="651" xr:uid="{00000000-0005-0000-0000-0000D4050000}"/>
    <cellStyle name="_대곡이설(투찰)_합덕-신례원(2공구)투찰_경찰서-터미널간도로(투찰)②" xfId="652" xr:uid="{00000000-0005-0000-0000-0000D5050000}"/>
    <cellStyle name="_대곡이설(투찰)_합덕-신례원(2공구)투찰_경찰서-터미널간도로(투찰)②_마현생창(동양고속)" xfId="653" xr:uid="{00000000-0005-0000-0000-0000D6050000}"/>
    <cellStyle name="_대곡이설(투찰)_합덕-신례원(2공구)투찰_경찰서-터미널간도로(투찰)②_마현생창(동양고속)_예정공정표" xfId="654" xr:uid="{00000000-0005-0000-0000-0000D7050000}"/>
    <cellStyle name="_대곡이설(투찰)_합덕-신례원(2공구)투찰_경찰서-터미널간도로(투찰)②_마현생창(동양고속)_왜관-태평건설" xfId="655" xr:uid="{00000000-0005-0000-0000-0000D8050000}"/>
    <cellStyle name="_대곡이설(투찰)_합덕-신례원(2공구)투찰_경찰서-터미널간도로(투찰)②_마현생창(동양고속)_왜관-태평건설_예정공정표" xfId="656" xr:uid="{00000000-0005-0000-0000-0000D9050000}"/>
    <cellStyle name="_대곡이설(투찰)_합덕-신례원(2공구)투찰_경찰서-터미널간도로(투찰)②_예정공정표" xfId="657" xr:uid="{00000000-0005-0000-0000-0000DA050000}"/>
    <cellStyle name="_대곡이설(투찰)_합덕-신례원(2공구)투찰_경찰서-터미널간도로(투찰)②_왜관-태평건설" xfId="658" xr:uid="{00000000-0005-0000-0000-0000DB050000}"/>
    <cellStyle name="_대곡이설(투찰)_합덕-신례원(2공구)투찰_경찰서-터미널간도로(투찰)②_왜관-태평건설_예정공정표" xfId="659" xr:uid="{00000000-0005-0000-0000-0000DC050000}"/>
    <cellStyle name="_대곡이설(투찰)_합덕-신례원(2공구)투찰_마현생창(동양고속)" xfId="660" xr:uid="{00000000-0005-0000-0000-0000DD050000}"/>
    <cellStyle name="_대곡이설(투찰)_합덕-신례원(2공구)투찰_마현생창(동양고속)_예정공정표" xfId="661" xr:uid="{00000000-0005-0000-0000-0000DE050000}"/>
    <cellStyle name="_대곡이설(투찰)_합덕-신례원(2공구)투찰_마현생창(동양고속)_왜관-태평건설" xfId="662" xr:uid="{00000000-0005-0000-0000-0000DF050000}"/>
    <cellStyle name="_대곡이설(투찰)_합덕-신례원(2공구)투찰_마현생창(동양고속)_왜관-태평건설_예정공정표" xfId="663" xr:uid="{00000000-0005-0000-0000-0000E0050000}"/>
    <cellStyle name="_대곡이설(투찰)_합덕-신례원(2공구)투찰_봉무지방산업단지도로(투찰)②" xfId="664" xr:uid="{00000000-0005-0000-0000-0000E1050000}"/>
    <cellStyle name="_대곡이설(투찰)_합덕-신례원(2공구)투찰_봉무지방산업단지도로(투찰)②_마현생창(동양고속)" xfId="665" xr:uid="{00000000-0005-0000-0000-0000E2050000}"/>
    <cellStyle name="_대곡이설(투찰)_합덕-신례원(2공구)투찰_봉무지방산업단지도로(투찰)②_마현생창(동양고속)_예정공정표" xfId="666" xr:uid="{00000000-0005-0000-0000-0000E3050000}"/>
    <cellStyle name="_대곡이설(투찰)_합덕-신례원(2공구)투찰_봉무지방산업단지도로(투찰)②_마현생창(동양고속)_왜관-태평건설" xfId="667" xr:uid="{00000000-0005-0000-0000-0000E4050000}"/>
    <cellStyle name="_대곡이설(투찰)_합덕-신례원(2공구)투찰_봉무지방산업단지도로(투찰)②_마현생창(동양고속)_왜관-태평건설_예정공정표" xfId="668" xr:uid="{00000000-0005-0000-0000-0000E5050000}"/>
    <cellStyle name="_대곡이설(투찰)_합덕-신례원(2공구)투찰_봉무지방산업단지도로(투찰)②_예정공정표" xfId="669" xr:uid="{00000000-0005-0000-0000-0000E6050000}"/>
    <cellStyle name="_대곡이설(투찰)_합덕-신례원(2공구)투찰_봉무지방산업단지도로(투찰)②_왜관-태평건설" xfId="670" xr:uid="{00000000-0005-0000-0000-0000E7050000}"/>
    <cellStyle name="_대곡이설(투찰)_합덕-신례원(2공구)투찰_봉무지방산업단지도로(투찰)②_왜관-태평건설_예정공정표" xfId="671" xr:uid="{00000000-0005-0000-0000-0000E8050000}"/>
    <cellStyle name="_대곡이설(투찰)_합덕-신례원(2공구)투찰_봉무지방산업단지도로(투찰)②+0.250%" xfId="672" xr:uid="{00000000-0005-0000-0000-0000E9050000}"/>
    <cellStyle name="_대곡이설(투찰)_합덕-신례원(2공구)투찰_봉무지방산업단지도로(투찰)②+0.250%_마현생창(동양고속)" xfId="673" xr:uid="{00000000-0005-0000-0000-0000EA050000}"/>
    <cellStyle name="_대곡이설(투찰)_합덕-신례원(2공구)투찰_봉무지방산업단지도로(투찰)②+0.250%_마현생창(동양고속)_예정공정표" xfId="674" xr:uid="{00000000-0005-0000-0000-0000EB050000}"/>
    <cellStyle name="_대곡이설(투찰)_합덕-신례원(2공구)투찰_봉무지방산업단지도로(투찰)②+0.250%_마현생창(동양고속)_왜관-태평건설" xfId="675" xr:uid="{00000000-0005-0000-0000-0000EC050000}"/>
    <cellStyle name="_대곡이설(투찰)_합덕-신례원(2공구)투찰_봉무지방산업단지도로(투찰)②+0.250%_마현생창(동양고속)_왜관-태평건설_예정공정표" xfId="676" xr:uid="{00000000-0005-0000-0000-0000ED050000}"/>
    <cellStyle name="_대곡이설(투찰)_합덕-신례원(2공구)투찰_봉무지방산업단지도로(투찰)②+0.250%_예정공정표" xfId="677" xr:uid="{00000000-0005-0000-0000-0000EE050000}"/>
    <cellStyle name="_대곡이설(투찰)_합덕-신례원(2공구)투찰_봉무지방산업단지도로(투찰)②+0.250%_왜관-태평건설" xfId="678" xr:uid="{00000000-0005-0000-0000-0000EF050000}"/>
    <cellStyle name="_대곡이설(투찰)_합덕-신례원(2공구)투찰_봉무지방산업단지도로(투찰)②+0.250%_왜관-태평건설_예정공정표" xfId="679" xr:uid="{00000000-0005-0000-0000-0000F0050000}"/>
    <cellStyle name="_대곡이설(투찰)_합덕-신례원(2공구)투찰_예정공정표" xfId="680" xr:uid="{00000000-0005-0000-0000-0000F1050000}"/>
    <cellStyle name="_대곡이설(투찰)_합덕-신례원(2공구)투찰_왜관-태평건설" xfId="681" xr:uid="{00000000-0005-0000-0000-0000F2050000}"/>
    <cellStyle name="_대곡이설(투찰)_합덕-신례원(2공구)투찰_왜관-태평건설_예정공정표" xfId="682" xr:uid="{00000000-0005-0000-0000-0000F3050000}"/>
    <cellStyle name="_대곡이설(투찰)_합덕-신례원(2공구)투찰_합덕-신례원(2공구)투찰" xfId="683" xr:uid="{00000000-0005-0000-0000-0000F4050000}"/>
    <cellStyle name="_대곡이설(투찰)_합덕-신례원(2공구)투찰_합덕-신례원(2공구)투찰_경찰서-터미널간도로(투찰)②" xfId="684" xr:uid="{00000000-0005-0000-0000-0000F5050000}"/>
    <cellStyle name="_대곡이설(투찰)_합덕-신례원(2공구)투찰_합덕-신례원(2공구)투찰_경찰서-터미널간도로(투찰)②_마현생창(동양고속)" xfId="685" xr:uid="{00000000-0005-0000-0000-0000F6050000}"/>
    <cellStyle name="_대곡이설(투찰)_합덕-신례원(2공구)투찰_합덕-신례원(2공구)투찰_경찰서-터미널간도로(투찰)②_마현생창(동양고속)_예정공정표" xfId="686" xr:uid="{00000000-0005-0000-0000-0000F7050000}"/>
    <cellStyle name="_대곡이설(투찰)_합덕-신례원(2공구)투찰_합덕-신례원(2공구)투찰_경찰서-터미널간도로(투찰)②_마현생창(동양고속)_왜관-태평건설" xfId="687" xr:uid="{00000000-0005-0000-0000-0000F8050000}"/>
    <cellStyle name="_대곡이설(투찰)_합덕-신례원(2공구)투찰_합덕-신례원(2공구)투찰_경찰서-터미널간도로(투찰)②_마현생창(동양고속)_왜관-태평건설_예정공정표" xfId="688" xr:uid="{00000000-0005-0000-0000-0000F9050000}"/>
    <cellStyle name="_대곡이설(투찰)_합덕-신례원(2공구)투찰_합덕-신례원(2공구)투찰_경찰서-터미널간도로(투찰)②_예정공정표" xfId="689" xr:uid="{00000000-0005-0000-0000-0000FA050000}"/>
    <cellStyle name="_대곡이설(투찰)_합덕-신례원(2공구)투찰_합덕-신례원(2공구)투찰_경찰서-터미널간도로(투찰)②_왜관-태평건설" xfId="690" xr:uid="{00000000-0005-0000-0000-0000FB050000}"/>
    <cellStyle name="_대곡이설(투찰)_합덕-신례원(2공구)투찰_합덕-신례원(2공구)투찰_경찰서-터미널간도로(투찰)②_왜관-태평건설_예정공정표" xfId="691" xr:uid="{00000000-0005-0000-0000-0000FC050000}"/>
    <cellStyle name="_대곡이설(투찰)_합덕-신례원(2공구)투찰_합덕-신례원(2공구)투찰_마현생창(동양고속)" xfId="692" xr:uid="{00000000-0005-0000-0000-0000FD050000}"/>
    <cellStyle name="_대곡이설(투찰)_합덕-신례원(2공구)투찰_합덕-신례원(2공구)투찰_마현생창(동양고속)_예정공정표" xfId="693" xr:uid="{00000000-0005-0000-0000-0000FE050000}"/>
    <cellStyle name="_대곡이설(투찰)_합덕-신례원(2공구)투찰_합덕-신례원(2공구)투찰_마현생창(동양고속)_왜관-태평건설" xfId="694" xr:uid="{00000000-0005-0000-0000-0000FF050000}"/>
    <cellStyle name="_대곡이설(투찰)_합덕-신례원(2공구)투찰_합덕-신례원(2공구)투찰_마현생창(동양고속)_왜관-태평건설_예정공정표" xfId="695" xr:uid="{00000000-0005-0000-0000-000000060000}"/>
    <cellStyle name="_대곡이설(투찰)_합덕-신례원(2공구)투찰_합덕-신례원(2공구)투찰_봉무지방산업단지도로(투찰)②" xfId="696" xr:uid="{00000000-0005-0000-0000-000001060000}"/>
    <cellStyle name="_대곡이설(투찰)_합덕-신례원(2공구)투찰_합덕-신례원(2공구)투찰_봉무지방산업단지도로(투찰)②_마현생창(동양고속)" xfId="697" xr:uid="{00000000-0005-0000-0000-000002060000}"/>
    <cellStyle name="_대곡이설(투찰)_합덕-신례원(2공구)투찰_합덕-신례원(2공구)투찰_봉무지방산업단지도로(투찰)②_마현생창(동양고속)_예정공정표" xfId="698" xr:uid="{00000000-0005-0000-0000-000003060000}"/>
    <cellStyle name="_대곡이설(투찰)_합덕-신례원(2공구)투찰_합덕-신례원(2공구)투찰_봉무지방산업단지도로(투찰)②_마현생창(동양고속)_왜관-태평건설" xfId="699" xr:uid="{00000000-0005-0000-0000-000004060000}"/>
    <cellStyle name="_대곡이설(투찰)_합덕-신례원(2공구)투찰_합덕-신례원(2공구)투찰_봉무지방산업단지도로(투찰)②_마현생창(동양고속)_왜관-태평건설_예정공정표" xfId="700" xr:uid="{00000000-0005-0000-0000-000005060000}"/>
    <cellStyle name="_대곡이설(투찰)_합덕-신례원(2공구)투찰_합덕-신례원(2공구)투찰_봉무지방산업단지도로(투찰)②_예정공정표" xfId="701" xr:uid="{00000000-0005-0000-0000-000006060000}"/>
    <cellStyle name="_대곡이설(투찰)_합덕-신례원(2공구)투찰_합덕-신례원(2공구)투찰_봉무지방산업단지도로(투찰)②_왜관-태평건설" xfId="702" xr:uid="{00000000-0005-0000-0000-000007060000}"/>
    <cellStyle name="_대곡이설(투찰)_합덕-신례원(2공구)투찰_합덕-신례원(2공구)투찰_봉무지방산업단지도로(투찰)②_왜관-태평건설_예정공정표" xfId="703" xr:uid="{00000000-0005-0000-0000-000008060000}"/>
    <cellStyle name="_대곡이설(투찰)_합덕-신례원(2공구)투찰_합덕-신례원(2공구)투찰_봉무지방산업단지도로(투찰)②+0.250%" xfId="704" xr:uid="{00000000-0005-0000-0000-000009060000}"/>
    <cellStyle name="_대곡이설(투찰)_합덕-신례원(2공구)투찰_합덕-신례원(2공구)투찰_봉무지방산업단지도로(투찰)②+0.250%_마현생창(동양고속)" xfId="705" xr:uid="{00000000-0005-0000-0000-00000A060000}"/>
    <cellStyle name="_대곡이설(투찰)_합덕-신례원(2공구)투찰_합덕-신례원(2공구)투찰_봉무지방산업단지도로(투찰)②+0.250%_마현생창(동양고속)_예정공정표" xfId="706" xr:uid="{00000000-0005-0000-0000-00000B060000}"/>
    <cellStyle name="_대곡이설(투찰)_합덕-신례원(2공구)투찰_합덕-신례원(2공구)투찰_봉무지방산업단지도로(투찰)②+0.250%_마현생창(동양고속)_왜관-태평건설" xfId="707" xr:uid="{00000000-0005-0000-0000-00000C060000}"/>
    <cellStyle name="_대곡이설(투찰)_합덕-신례원(2공구)투찰_합덕-신례원(2공구)투찰_봉무지방산업단지도로(투찰)②+0.250%_마현생창(동양고속)_왜관-태평건설_예정공정표" xfId="708" xr:uid="{00000000-0005-0000-0000-00000D060000}"/>
    <cellStyle name="_대곡이설(투찰)_합덕-신례원(2공구)투찰_합덕-신례원(2공구)투찰_봉무지방산업단지도로(투찰)②+0.250%_예정공정표" xfId="709" xr:uid="{00000000-0005-0000-0000-00000E060000}"/>
    <cellStyle name="_대곡이설(투찰)_합덕-신례원(2공구)투찰_합덕-신례원(2공구)투찰_봉무지방산업단지도로(투찰)②+0.250%_왜관-태평건설" xfId="710" xr:uid="{00000000-0005-0000-0000-00000F060000}"/>
    <cellStyle name="_대곡이설(투찰)_합덕-신례원(2공구)투찰_합덕-신례원(2공구)투찰_봉무지방산업단지도로(투찰)②+0.250%_왜관-태평건설_예정공정표" xfId="711" xr:uid="{00000000-0005-0000-0000-000010060000}"/>
    <cellStyle name="_대곡이설(투찰)_합덕-신례원(2공구)투찰_합덕-신례원(2공구)투찰_예정공정표" xfId="712" xr:uid="{00000000-0005-0000-0000-000011060000}"/>
    <cellStyle name="_대곡이설(투찰)_합덕-신례원(2공구)투찰_합덕-신례원(2공구)투찰_왜관-태평건설" xfId="713" xr:uid="{00000000-0005-0000-0000-000012060000}"/>
    <cellStyle name="_대곡이설(투찰)_합덕-신례원(2공구)투찰_합덕-신례원(2공구)투찰_왜관-태평건설_예정공정표" xfId="714" xr:uid="{00000000-0005-0000-0000-000013060000}"/>
    <cellStyle name="_대관업무비" xfId="715" xr:uid="{00000000-0005-0000-0000-000014060000}"/>
    <cellStyle name="_대관협의비용" xfId="716" xr:uid="{00000000-0005-0000-0000-000015060000}"/>
    <cellStyle name="_대구 검사동 SOS어르신 마을 신축-전기(0822)" xfId="717" xr:uid="{00000000-0005-0000-0000-000016060000}"/>
    <cellStyle name="_대구공고(집행,기존철거제외4.8)" xfId="718" xr:uid="{00000000-0005-0000-0000-000017060000}"/>
    <cellStyle name="_대구박물관_내역서" xfId="3493" xr:uid="{00000000-0005-0000-0000-000018060000}"/>
    <cellStyle name="_대구안심중냉난방0501" xfId="719" xr:uid="{00000000-0005-0000-0000-000019060000}"/>
    <cellStyle name="_대구예술영재교육원 외등설치" xfId="720" xr:uid="{00000000-0005-0000-0000-00001A060000}"/>
    <cellStyle name="_대야늘푸른벽산 보강설계" xfId="3494" xr:uid="{00000000-0005-0000-0000-00001B060000}"/>
    <cellStyle name="_대전망운용국 대수선 전기공사+개요" xfId="721" xr:uid="{00000000-0005-0000-0000-00001C060000}"/>
    <cellStyle name="_대치동 (추가)" xfId="3495" xr:uid="{00000000-0005-0000-0000-00001D060000}"/>
    <cellStyle name="_도곡1교 교대 수량" xfId="3496" xr:uid="{00000000-0005-0000-0000-00001E060000}"/>
    <cellStyle name="_도곡1교 교대 수량_사본 - 하마2교-수량" xfId="3497" xr:uid="{00000000-0005-0000-0000-00001F060000}"/>
    <cellStyle name="_도곡1교 교대 수량_사본 - 하마2교-수량_토공량" xfId="3498" xr:uid="{00000000-0005-0000-0000-000020060000}"/>
    <cellStyle name="_도곡1교 교대 수량_토공량" xfId="3499" xr:uid="{00000000-0005-0000-0000-000021060000}"/>
    <cellStyle name="_도곡1교 교대 수량_하마1교-수량" xfId="3500" xr:uid="{00000000-0005-0000-0000-000022060000}"/>
    <cellStyle name="_도곡1교 교대 수량_하마1교-수량_토공량" xfId="3501" xr:uid="{00000000-0005-0000-0000-000023060000}"/>
    <cellStyle name="_도곡1교 교대 수량_하마2교-수량" xfId="3502" xr:uid="{00000000-0005-0000-0000-000024060000}"/>
    <cellStyle name="_도곡1교 교대 수량_하마2교-수량_토공량" xfId="3503" xr:uid="{00000000-0005-0000-0000-000025060000}"/>
    <cellStyle name="_도곡1교 교대 수량_하마읍3교대" xfId="3504" xr:uid="{00000000-0005-0000-0000-000026060000}"/>
    <cellStyle name="_도곡1교 교대 수량_하마읍3교대_토공량" xfId="3505" xr:uid="{00000000-0005-0000-0000-000027060000}"/>
    <cellStyle name="_도곡1교 교대 수량_하마읍3교토공" xfId="3506" xr:uid="{00000000-0005-0000-0000-000028060000}"/>
    <cellStyle name="_도곡1교 교대 수량_하마읍3교토공_토공량" xfId="3507" xr:uid="{00000000-0005-0000-0000-000029060000}"/>
    <cellStyle name="_도곡1교 교대(시점) 수량" xfId="3508" xr:uid="{00000000-0005-0000-0000-00002A060000}"/>
    <cellStyle name="_도곡1교 교대(시점) 수량_사본 - 하마2교-수량" xfId="3509" xr:uid="{00000000-0005-0000-0000-00002B060000}"/>
    <cellStyle name="_도곡1교 교대(시점) 수량_사본 - 하마2교-수량_토공량" xfId="3510" xr:uid="{00000000-0005-0000-0000-00002C060000}"/>
    <cellStyle name="_도곡1교 교대(시점) 수량_토공량" xfId="3511" xr:uid="{00000000-0005-0000-0000-00002D060000}"/>
    <cellStyle name="_도곡1교 교대(시점) 수량_하마1교-수량" xfId="3512" xr:uid="{00000000-0005-0000-0000-00002E060000}"/>
    <cellStyle name="_도곡1교 교대(시점) 수량_하마1교-수량_토공량" xfId="3513" xr:uid="{00000000-0005-0000-0000-00002F060000}"/>
    <cellStyle name="_도곡1교 교대(시점) 수량_하마2교-수량" xfId="3514" xr:uid="{00000000-0005-0000-0000-000030060000}"/>
    <cellStyle name="_도곡1교 교대(시점) 수량_하마2교-수량_토공량" xfId="3515" xr:uid="{00000000-0005-0000-0000-000031060000}"/>
    <cellStyle name="_도곡1교 교대(시점) 수량_하마읍3교대" xfId="3516" xr:uid="{00000000-0005-0000-0000-000032060000}"/>
    <cellStyle name="_도곡1교 교대(시점) 수량_하마읍3교대_토공량" xfId="3517" xr:uid="{00000000-0005-0000-0000-000033060000}"/>
    <cellStyle name="_도곡1교 교대(시점) 수량_하마읍3교토공" xfId="3518" xr:uid="{00000000-0005-0000-0000-000034060000}"/>
    <cellStyle name="_도곡1교 교대(시점) 수량_하마읍3교토공_토공량" xfId="3519" xr:uid="{00000000-0005-0000-0000-000035060000}"/>
    <cellStyle name="_도곡1교 하부공 수량" xfId="3520" xr:uid="{00000000-0005-0000-0000-000036060000}"/>
    <cellStyle name="_도곡1교 하부공 수량_사본 - 하마2교-수량" xfId="3521" xr:uid="{00000000-0005-0000-0000-000037060000}"/>
    <cellStyle name="_도곡1교 하부공 수량_사본 - 하마2교-수량_토공량" xfId="3522" xr:uid="{00000000-0005-0000-0000-000038060000}"/>
    <cellStyle name="_도곡1교 하부공 수량_토공량" xfId="3523" xr:uid="{00000000-0005-0000-0000-000039060000}"/>
    <cellStyle name="_도곡1교 하부공 수량_하마1교-수량" xfId="3524" xr:uid="{00000000-0005-0000-0000-00003A060000}"/>
    <cellStyle name="_도곡1교 하부공 수량_하마1교-수량_토공량" xfId="3525" xr:uid="{00000000-0005-0000-0000-00003B060000}"/>
    <cellStyle name="_도곡1교 하부공 수량_하마2교-수량" xfId="3526" xr:uid="{00000000-0005-0000-0000-00003C060000}"/>
    <cellStyle name="_도곡1교 하부공 수량_하마2교-수량_토공량" xfId="3527" xr:uid="{00000000-0005-0000-0000-00003D060000}"/>
    <cellStyle name="_도곡1교 하부공 수량_하마읍3교대" xfId="3528" xr:uid="{00000000-0005-0000-0000-00003E060000}"/>
    <cellStyle name="_도곡1교 하부공 수량_하마읍3교대_토공량" xfId="3529" xr:uid="{00000000-0005-0000-0000-00003F060000}"/>
    <cellStyle name="_도곡1교 하부공 수량_하마읍3교토공" xfId="3530" xr:uid="{00000000-0005-0000-0000-000040060000}"/>
    <cellStyle name="_도곡1교 하부공 수량_하마읍3교토공_토공량" xfId="3531" xr:uid="{00000000-0005-0000-0000-000041060000}"/>
    <cellStyle name="_도곡2교 교대 수량" xfId="3532" xr:uid="{00000000-0005-0000-0000-000042060000}"/>
    <cellStyle name="_도곡2교 교대 수량_사본 - 하마2교-수량" xfId="3533" xr:uid="{00000000-0005-0000-0000-000043060000}"/>
    <cellStyle name="_도곡2교 교대 수량_사본 - 하마2교-수량_토공량" xfId="3534" xr:uid="{00000000-0005-0000-0000-000044060000}"/>
    <cellStyle name="_도곡2교 교대 수량_토공량" xfId="3535" xr:uid="{00000000-0005-0000-0000-000045060000}"/>
    <cellStyle name="_도곡2교 교대 수량_하마1교-수량" xfId="3536" xr:uid="{00000000-0005-0000-0000-000046060000}"/>
    <cellStyle name="_도곡2교 교대 수량_하마1교-수량_토공량" xfId="3537" xr:uid="{00000000-0005-0000-0000-000047060000}"/>
    <cellStyle name="_도곡2교 교대 수량_하마2교-수량" xfId="3538" xr:uid="{00000000-0005-0000-0000-000048060000}"/>
    <cellStyle name="_도곡2교 교대 수량_하마2교-수량_토공량" xfId="3539" xr:uid="{00000000-0005-0000-0000-000049060000}"/>
    <cellStyle name="_도곡2교 교대 수량_하마읍3교대" xfId="3540" xr:uid="{00000000-0005-0000-0000-00004A060000}"/>
    <cellStyle name="_도곡2교 교대 수량_하마읍3교대_토공량" xfId="3541" xr:uid="{00000000-0005-0000-0000-00004B060000}"/>
    <cellStyle name="_도곡2교 교대 수량_하마읍3교토공" xfId="3542" xr:uid="{00000000-0005-0000-0000-00004C060000}"/>
    <cellStyle name="_도곡2교 교대 수량_하마읍3교토공_토공량" xfId="3543" xr:uid="{00000000-0005-0000-0000-00004D060000}"/>
    <cellStyle name="_도곡2교 교대(종점) 수량" xfId="3544" xr:uid="{00000000-0005-0000-0000-00004E060000}"/>
    <cellStyle name="_도곡2교 교대(종점) 수량_사본 - 하마2교-수량" xfId="3545" xr:uid="{00000000-0005-0000-0000-00004F060000}"/>
    <cellStyle name="_도곡2교 교대(종점) 수량_사본 - 하마2교-수량_토공량" xfId="3546" xr:uid="{00000000-0005-0000-0000-000050060000}"/>
    <cellStyle name="_도곡2교 교대(종점) 수량_토공량" xfId="3547" xr:uid="{00000000-0005-0000-0000-000051060000}"/>
    <cellStyle name="_도곡2교 교대(종점) 수량_하마1교-수량" xfId="3548" xr:uid="{00000000-0005-0000-0000-000052060000}"/>
    <cellStyle name="_도곡2교 교대(종점) 수량_하마1교-수량_토공량" xfId="3549" xr:uid="{00000000-0005-0000-0000-000053060000}"/>
    <cellStyle name="_도곡2교 교대(종점) 수량_하마2교-수량" xfId="3550" xr:uid="{00000000-0005-0000-0000-000054060000}"/>
    <cellStyle name="_도곡2교 교대(종점) 수량_하마2교-수량_토공량" xfId="3551" xr:uid="{00000000-0005-0000-0000-000055060000}"/>
    <cellStyle name="_도곡2교 교대(종점) 수량_하마읍3교대" xfId="3552" xr:uid="{00000000-0005-0000-0000-000056060000}"/>
    <cellStyle name="_도곡2교 교대(종점) 수량_하마읍3교대_토공량" xfId="3553" xr:uid="{00000000-0005-0000-0000-000057060000}"/>
    <cellStyle name="_도곡2교 교대(종점) 수량_하마읍3교토공" xfId="3554" xr:uid="{00000000-0005-0000-0000-000058060000}"/>
    <cellStyle name="_도곡2교 교대(종점) 수량_하마읍3교토공_토공량" xfId="3555" xr:uid="{00000000-0005-0000-0000-000059060000}"/>
    <cellStyle name="_도곡3교 교대 수량" xfId="3556" xr:uid="{00000000-0005-0000-0000-00005A060000}"/>
    <cellStyle name="_도곡3교 교대 수량_사본 - 하마2교-수량" xfId="3557" xr:uid="{00000000-0005-0000-0000-00005B060000}"/>
    <cellStyle name="_도곡3교 교대 수량_사본 - 하마2교-수량_토공량" xfId="3558" xr:uid="{00000000-0005-0000-0000-00005C060000}"/>
    <cellStyle name="_도곡3교 교대 수량_토공량" xfId="3559" xr:uid="{00000000-0005-0000-0000-00005D060000}"/>
    <cellStyle name="_도곡3교 교대 수량_하마1교-수량" xfId="3560" xr:uid="{00000000-0005-0000-0000-00005E060000}"/>
    <cellStyle name="_도곡3교 교대 수량_하마1교-수량_토공량" xfId="3561" xr:uid="{00000000-0005-0000-0000-00005F060000}"/>
    <cellStyle name="_도곡3교 교대 수량_하마2교-수량" xfId="3562" xr:uid="{00000000-0005-0000-0000-000060060000}"/>
    <cellStyle name="_도곡3교 교대 수량_하마2교-수량_토공량" xfId="3563" xr:uid="{00000000-0005-0000-0000-000061060000}"/>
    <cellStyle name="_도곡3교 교대 수량_하마읍3교대" xfId="3564" xr:uid="{00000000-0005-0000-0000-000062060000}"/>
    <cellStyle name="_도곡3교 교대 수량_하마읍3교대_토공량" xfId="3565" xr:uid="{00000000-0005-0000-0000-000063060000}"/>
    <cellStyle name="_도곡3교 교대 수량_하마읍3교토공" xfId="3566" xr:uid="{00000000-0005-0000-0000-000064060000}"/>
    <cellStyle name="_도곡3교 교대 수량_하마읍3교토공_토공량" xfId="3567" xr:uid="{00000000-0005-0000-0000-000065060000}"/>
    <cellStyle name="_도곡4교 하부공 수량" xfId="3568" xr:uid="{00000000-0005-0000-0000-000066060000}"/>
    <cellStyle name="_도곡4교 하부공 수량_사본 - 하마2교-수량" xfId="3569" xr:uid="{00000000-0005-0000-0000-000067060000}"/>
    <cellStyle name="_도곡4교 하부공 수량_사본 - 하마2교-수량_토공량" xfId="3570" xr:uid="{00000000-0005-0000-0000-000068060000}"/>
    <cellStyle name="_도곡4교 하부공 수량_토공량" xfId="3571" xr:uid="{00000000-0005-0000-0000-000069060000}"/>
    <cellStyle name="_도곡4교 하부공 수량_하마1교-수량" xfId="3572" xr:uid="{00000000-0005-0000-0000-00006A060000}"/>
    <cellStyle name="_도곡4교 하부공 수량_하마1교-수량_토공량" xfId="3573" xr:uid="{00000000-0005-0000-0000-00006B060000}"/>
    <cellStyle name="_도곡4교 하부공 수량_하마2교-수량" xfId="3574" xr:uid="{00000000-0005-0000-0000-00006C060000}"/>
    <cellStyle name="_도곡4교 하부공 수량_하마2교-수량_토공량" xfId="3575" xr:uid="{00000000-0005-0000-0000-00006D060000}"/>
    <cellStyle name="_도곡4교 하부공 수량_하마읍3교대" xfId="3576" xr:uid="{00000000-0005-0000-0000-00006E060000}"/>
    <cellStyle name="_도곡4교 하부공 수량_하마읍3교대_토공량" xfId="3577" xr:uid="{00000000-0005-0000-0000-00006F060000}"/>
    <cellStyle name="_도곡4교 하부공 수량_하마읍3교토공" xfId="3578" xr:uid="{00000000-0005-0000-0000-000070060000}"/>
    <cellStyle name="_도곡4교 하부공 수량_하마읍3교토공_토공량" xfId="3579" xr:uid="{00000000-0005-0000-0000-000071060000}"/>
    <cellStyle name="_도곡교 교대 수량" xfId="3580" xr:uid="{00000000-0005-0000-0000-000072060000}"/>
    <cellStyle name="_도곡교 교대 수량_사본 - 하마2교-수량" xfId="3581" xr:uid="{00000000-0005-0000-0000-000073060000}"/>
    <cellStyle name="_도곡교 교대 수량_사본 - 하마2교-수량_토공량" xfId="3582" xr:uid="{00000000-0005-0000-0000-000074060000}"/>
    <cellStyle name="_도곡교 교대 수량_토공량" xfId="3583" xr:uid="{00000000-0005-0000-0000-000075060000}"/>
    <cellStyle name="_도곡교 교대 수량_하마1교-수량" xfId="3584" xr:uid="{00000000-0005-0000-0000-000076060000}"/>
    <cellStyle name="_도곡교 교대 수량_하마1교-수량_토공량" xfId="3585" xr:uid="{00000000-0005-0000-0000-000077060000}"/>
    <cellStyle name="_도곡교 교대 수량_하마2교-수량" xfId="3586" xr:uid="{00000000-0005-0000-0000-000078060000}"/>
    <cellStyle name="_도곡교 교대 수량_하마2교-수량_토공량" xfId="3587" xr:uid="{00000000-0005-0000-0000-000079060000}"/>
    <cellStyle name="_도곡교 교대 수량_하마읍3교대" xfId="3588" xr:uid="{00000000-0005-0000-0000-00007A060000}"/>
    <cellStyle name="_도곡교 교대 수량_하마읍3교대_토공량" xfId="3589" xr:uid="{00000000-0005-0000-0000-00007B060000}"/>
    <cellStyle name="_도곡교 교대 수량_하마읍3교토공" xfId="3590" xr:uid="{00000000-0005-0000-0000-00007C060000}"/>
    <cellStyle name="_도곡교 교대 수량_하마읍3교토공_토공량" xfId="3591" xr:uid="{00000000-0005-0000-0000-00007D060000}"/>
    <cellStyle name="_도급내역(전체분)" xfId="722" xr:uid="{00000000-0005-0000-0000-00007E060000}"/>
    <cellStyle name="_도급내역(전체분)_복사본 총괄1회변경" xfId="723" xr:uid="{00000000-0005-0000-0000-00007F060000}"/>
    <cellStyle name="_도급내역(전체분)_총괄1회변경" xfId="724" xr:uid="{00000000-0005-0000-0000-000080060000}"/>
    <cellStyle name="_도급내역(토공)" xfId="725" xr:uid="{00000000-0005-0000-0000-000081060000}"/>
    <cellStyle name="_도덕-고흥도로(투찰)" xfId="726" xr:uid="{00000000-0005-0000-0000-000082060000}"/>
    <cellStyle name="_동구효청원설계내역서" xfId="727" xr:uid="{00000000-0005-0000-0000-000083060000}"/>
    <cellStyle name="_동목포전화국" xfId="3592" xr:uid="{00000000-0005-0000-0000-000084060000}"/>
    <cellStyle name="_동목포전화국제4회기성청구서" xfId="728" xr:uid="{00000000-0005-0000-0000-000085060000}"/>
    <cellStyle name="_동부중전기내역서" xfId="729" xr:uid="{00000000-0005-0000-0000-000086060000}"/>
    <cellStyle name="_동학농민(전기)(02.09.05)" xfId="3593" xr:uid="{00000000-0005-0000-0000-000087060000}"/>
    <cellStyle name="_두계변전소하도급" xfId="730" xr:uid="{00000000-0005-0000-0000-000088060000}"/>
    <cellStyle name="_둔전~삼계리내역서(가로등)-수정" xfId="3594" xr:uid="{00000000-0005-0000-0000-000089060000}"/>
    <cellStyle name="_등촌동 어린이집" xfId="731" xr:uid="{00000000-0005-0000-0000-00008A060000}"/>
    <cellStyle name="_롯데2층일위대가-1" xfId="3595" xr:uid="{00000000-0005-0000-0000-00008B060000}"/>
    <cellStyle name="_롯데2층일위대가-1_1" xfId="3596" xr:uid="{00000000-0005-0000-0000-00008C060000}"/>
    <cellStyle name="_마트계약내역서" xfId="3597" xr:uid="{00000000-0005-0000-0000-00008D060000}"/>
    <cellStyle name="_만경강-산출서" xfId="3598" xr:uid="{00000000-0005-0000-0000-00008E060000}"/>
    <cellStyle name="_말띠고개(수정)" xfId="3599" xr:uid="{00000000-0005-0000-0000-00008F060000}"/>
    <cellStyle name="_모바일 경기넷 구축 사업(최종)" xfId="3600" xr:uid="{00000000-0005-0000-0000-000090060000}"/>
    <cellStyle name="_모형-내역서(12)" xfId="3601" xr:uid="{00000000-0005-0000-0000-000091060000}"/>
    <cellStyle name="_목동운동장 전광판(제조-최종)" xfId="3602" xr:uid="{00000000-0005-0000-0000-000092060000}"/>
    <cellStyle name="_목차" xfId="3603" xr:uid="{00000000-0005-0000-0000-000093060000}"/>
    <cellStyle name="_무등리배수펌프장-제작" xfId="3604" xr:uid="{00000000-0005-0000-0000-000094060000}"/>
    <cellStyle name="_무안공원시설" xfId="3605" xr:uid="{00000000-0005-0000-0000-000095060000}"/>
    <cellStyle name="_무역 전시회 지원성과" xfId="3606" xr:uid="{00000000-0005-0000-0000-000096060000}"/>
    <cellStyle name="_무창(전자입찰용)" xfId="732" xr:uid="{00000000-0005-0000-0000-000097060000}"/>
    <cellStyle name="_무창(전자입찰용)_예정공정표" xfId="733" xr:uid="{00000000-0005-0000-0000-000098060000}"/>
    <cellStyle name="_무창(전자입찰용)_왜관-태평건설" xfId="734" xr:uid="{00000000-0005-0000-0000-000099060000}"/>
    <cellStyle name="_무창(전자입찰용)_왜관-태평건설_예정공정표" xfId="735" xr:uid="{00000000-0005-0000-0000-00009A060000}"/>
    <cellStyle name="_무창투찰" xfId="736" xr:uid="{00000000-0005-0000-0000-00009B060000}"/>
    <cellStyle name="_무창투찰_예정공정표" xfId="737" xr:uid="{00000000-0005-0000-0000-00009C060000}"/>
    <cellStyle name="_무형문화재보고서최종" xfId="3607" xr:uid="{00000000-0005-0000-0000-00009D060000}"/>
    <cellStyle name="_발산지구내역서" xfId="3608" xr:uid="{00000000-0005-0000-0000-00009E060000}"/>
    <cellStyle name="_방송및cctv" xfId="3609" xr:uid="{00000000-0005-0000-0000-00009F060000}"/>
    <cellStyle name="_방송장비" xfId="3610" xr:uid="{00000000-0005-0000-0000-0000A0060000}"/>
    <cellStyle name="_방이동오피스텔-압구정 아크로빌-천안두정아파트(제일하이텍)" xfId="3611" xr:uid="{00000000-0005-0000-0000-0000A1060000}"/>
    <cellStyle name="_방짜유기전문박물관전기공사" xfId="738" xr:uid="{00000000-0005-0000-0000-0000A2060000}"/>
    <cellStyle name="_배관,전기,계장공사비_rev2" xfId="3612" xr:uid="{00000000-0005-0000-0000-0000A3060000}"/>
    <cellStyle name="_변경계약분실행및2001년실행(견적비교포함)" xfId="3613" xr:uid="{00000000-0005-0000-0000-0000A4060000}"/>
    <cellStyle name="_변경계약분실행및2001년실행(견적비교포함)_공무정산양식(10월초)" xfId="3614" xr:uid="{00000000-0005-0000-0000-0000A5060000}"/>
    <cellStyle name="_변경계약분실행및2001년실행(견적비교포함)_공무정산양식(10월초)_기성내역서" xfId="3615" xr:uid="{00000000-0005-0000-0000-0000A6060000}"/>
    <cellStyle name="_변경계약분실행및2001년실행(견적비교포함)_공무정산양식(10월초)_기성내역서_전체계약변경(03)" xfId="3616" xr:uid="{00000000-0005-0000-0000-0000A7060000}"/>
    <cellStyle name="_변경계약분실행및2001년실행(견적비교포함)_공무정산양식(10월초)_전체계약변경(03)" xfId="3617" xr:uid="{00000000-0005-0000-0000-0000A8060000}"/>
    <cellStyle name="_변경계약분실행및2001년실행(견적비교포함)_공무정산양식(10월초)_포장외건(최종)" xfId="3618" xr:uid="{00000000-0005-0000-0000-0000A9060000}"/>
    <cellStyle name="_변경계약분실행및2001년실행(견적비교포함)_기성내역서" xfId="3619" xr:uid="{00000000-0005-0000-0000-0000AA060000}"/>
    <cellStyle name="_변경계약분실행및2001년실행(견적비교포함)_기성내역서_전체계약변경(03)" xfId="3620" xr:uid="{00000000-0005-0000-0000-0000AB060000}"/>
    <cellStyle name="_변경계약분실행및2001년실행(견적비교포함)_전체계약변경(03)" xfId="3621" xr:uid="{00000000-0005-0000-0000-0000AC060000}"/>
    <cellStyle name="_변경계약분실행및2001년실행(견적비교포함)_포장외건(최종)" xfId="3622" xr:uid="{00000000-0005-0000-0000-0000AD060000}"/>
    <cellStyle name="_변경내역서" xfId="739" xr:uid="{00000000-0005-0000-0000-0000AE060000}"/>
    <cellStyle name="_변경내역서 -3" xfId="3623" xr:uid="{00000000-0005-0000-0000-0000AF060000}"/>
    <cellStyle name="_변경전 내역검토(참고용)" xfId="3624" xr:uid="{00000000-0005-0000-0000-0000B0060000}"/>
    <cellStyle name="_보고서" xfId="3625" xr:uid="{00000000-0005-0000-0000-0000B1060000}"/>
    <cellStyle name="_본관전원이설및전기개보수내역서" xfId="740" xr:uid="{00000000-0005-0000-0000-0000B2060000}"/>
    <cellStyle name="_본사용(원가분석)" xfId="3626" xr:uid="{00000000-0005-0000-0000-0000B3060000}"/>
    <cellStyle name="_봉림고교 교사신축(최종)" xfId="741" xr:uid="{00000000-0005-0000-0000-0000B4060000}"/>
    <cellStyle name="_봉림고교 교사신축(최종)-참고용" xfId="742" xr:uid="{00000000-0005-0000-0000-0000B5060000}"/>
    <cellStyle name="_봉무-전기원가및표지" xfId="743" xr:uid="{00000000-0005-0000-0000-0000B6060000}"/>
    <cellStyle name="_부대입찰양식②" xfId="744" xr:uid="{00000000-0005-0000-0000-0000B7060000}"/>
    <cellStyle name="_부대입찰양식②_경찰서-터미널간도로(투찰)②" xfId="745" xr:uid="{00000000-0005-0000-0000-0000B8060000}"/>
    <cellStyle name="_부대입찰양식②_경찰서-터미널간도로(투찰)②_마현생창(동양고속)" xfId="746" xr:uid="{00000000-0005-0000-0000-0000B9060000}"/>
    <cellStyle name="_부대입찰양식②_경찰서-터미널간도로(투찰)②_마현생창(동양고속)_예정공정표" xfId="747" xr:uid="{00000000-0005-0000-0000-0000BA060000}"/>
    <cellStyle name="_부대입찰양식②_경찰서-터미널간도로(투찰)②_마현생창(동양고속)_왜관-태평건설" xfId="748" xr:uid="{00000000-0005-0000-0000-0000BB060000}"/>
    <cellStyle name="_부대입찰양식②_경찰서-터미널간도로(투찰)②_마현생창(동양고속)_왜관-태평건설_예정공정표" xfId="749" xr:uid="{00000000-0005-0000-0000-0000BC060000}"/>
    <cellStyle name="_부대입찰양식②_경찰서-터미널간도로(투찰)②_예정공정표" xfId="750" xr:uid="{00000000-0005-0000-0000-0000BD060000}"/>
    <cellStyle name="_부대입찰양식②_경찰서-터미널간도로(투찰)②_왜관-태평건설" xfId="751" xr:uid="{00000000-0005-0000-0000-0000BE060000}"/>
    <cellStyle name="_부대입찰양식②_경찰서-터미널간도로(투찰)②_왜관-태평건설_예정공정표" xfId="752" xr:uid="{00000000-0005-0000-0000-0000BF060000}"/>
    <cellStyle name="_부대입찰양식②_마현생창(동양고속)" xfId="753" xr:uid="{00000000-0005-0000-0000-0000C0060000}"/>
    <cellStyle name="_부대입찰양식②_마현생창(동양고속)_예정공정표" xfId="754" xr:uid="{00000000-0005-0000-0000-0000C1060000}"/>
    <cellStyle name="_부대입찰양식②_마현생창(동양고속)_왜관-태평건설" xfId="755" xr:uid="{00000000-0005-0000-0000-0000C2060000}"/>
    <cellStyle name="_부대입찰양식②_마현생창(동양고속)_왜관-태평건설_예정공정표" xfId="756" xr:uid="{00000000-0005-0000-0000-0000C3060000}"/>
    <cellStyle name="_부대입찰양식②_봉무지방산업단지도로(투찰)②" xfId="757" xr:uid="{00000000-0005-0000-0000-0000C4060000}"/>
    <cellStyle name="_부대입찰양식②_봉무지방산업단지도로(투찰)②_마현생창(동양고속)" xfId="758" xr:uid="{00000000-0005-0000-0000-0000C5060000}"/>
    <cellStyle name="_부대입찰양식②_봉무지방산업단지도로(투찰)②_마현생창(동양고속)_예정공정표" xfId="759" xr:uid="{00000000-0005-0000-0000-0000C6060000}"/>
    <cellStyle name="_부대입찰양식②_봉무지방산업단지도로(투찰)②_마현생창(동양고속)_왜관-태평건설" xfId="760" xr:uid="{00000000-0005-0000-0000-0000C7060000}"/>
    <cellStyle name="_부대입찰양식②_봉무지방산업단지도로(투찰)②_마현생창(동양고속)_왜관-태평건설_예정공정표" xfId="761" xr:uid="{00000000-0005-0000-0000-0000C8060000}"/>
    <cellStyle name="_부대입찰양식②_봉무지방산업단지도로(투찰)②_예정공정표" xfId="762" xr:uid="{00000000-0005-0000-0000-0000C9060000}"/>
    <cellStyle name="_부대입찰양식②_봉무지방산업단지도로(투찰)②_왜관-태평건설" xfId="763" xr:uid="{00000000-0005-0000-0000-0000CA060000}"/>
    <cellStyle name="_부대입찰양식②_봉무지방산업단지도로(투찰)②_왜관-태평건설_예정공정표" xfId="764" xr:uid="{00000000-0005-0000-0000-0000CB060000}"/>
    <cellStyle name="_부대입찰양식②_봉무지방산업단지도로(투찰)②+0.250%" xfId="765" xr:uid="{00000000-0005-0000-0000-0000CC060000}"/>
    <cellStyle name="_부대입찰양식②_봉무지방산업단지도로(투찰)②+0.250%_마현생창(동양고속)" xfId="766" xr:uid="{00000000-0005-0000-0000-0000CD060000}"/>
    <cellStyle name="_부대입찰양식②_봉무지방산업단지도로(투찰)②+0.250%_마현생창(동양고속)_예정공정표" xfId="767" xr:uid="{00000000-0005-0000-0000-0000CE060000}"/>
    <cellStyle name="_부대입찰양식②_봉무지방산업단지도로(투찰)②+0.250%_마현생창(동양고속)_왜관-태평건설" xfId="768" xr:uid="{00000000-0005-0000-0000-0000CF060000}"/>
    <cellStyle name="_부대입찰양식②_봉무지방산업단지도로(투찰)②+0.250%_마현생창(동양고속)_왜관-태평건설_예정공정표" xfId="769" xr:uid="{00000000-0005-0000-0000-0000D0060000}"/>
    <cellStyle name="_부대입찰양식②_봉무지방산업단지도로(투찰)②+0.250%_예정공정표" xfId="770" xr:uid="{00000000-0005-0000-0000-0000D1060000}"/>
    <cellStyle name="_부대입찰양식②_봉무지방산업단지도로(투찰)②+0.250%_왜관-태평건설" xfId="771" xr:uid="{00000000-0005-0000-0000-0000D2060000}"/>
    <cellStyle name="_부대입찰양식②_봉무지방산업단지도로(투찰)②+0.250%_왜관-태평건설_예정공정표" xfId="772" xr:uid="{00000000-0005-0000-0000-0000D3060000}"/>
    <cellStyle name="_부대입찰양식②_예정공정표" xfId="773" xr:uid="{00000000-0005-0000-0000-0000D4060000}"/>
    <cellStyle name="_부대입찰양식②_왜관-태평건설" xfId="774" xr:uid="{00000000-0005-0000-0000-0000D5060000}"/>
    <cellStyle name="_부대입찰양식②_왜관-태평건설_예정공정표" xfId="775" xr:uid="{00000000-0005-0000-0000-0000D6060000}"/>
    <cellStyle name="_부대입찰양식②_합덕-신례원(2공구)투찰" xfId="776" xr:uid="{00000000-0005-0000-0000-0000D7060000}"/>
    <cellStyle name="_부대입찰양식②_합덕-신례원(2공구)투찰_경찰서-터미널간도로(투찰)②" xfId="777" xr:uid="{00000000-0005-0000-0000-0000D8060000}"/>
    <cellStyle name="_부대입찰양식②_합덕-신례원(2공구)투찰_경찰서-터미널간도로(투찰)②_마현생창(동양고속)" xfId="778" xr:uid="{00000000-0005-0000-0000-0000D9060000}"/>
    <cellStyle name="_부대입찰양식②_합덕-신례원(2공구)투찰_경찰서-터미널간도로(투찰)②_마현생창(동양고속)_예정공정표" xfId="779" xr:uid="{00000000-0005-0000-0000-0000DA060000}"/>
    <cellStyle name="_부대입찰양식②_합덕-신례원(2공구)투찰_경찰서-터미널간도로(투찰)②_마현생창(동양고속)_왜관-태평건설" xfId="780" xr:uid="{00000000-0005-0000-0000-0000DB060000}"/>
    <cellStyle name="_부대입찰양식②_합덕-신례원(2공구)투찰_경찰서-터미널간도로(투찰)②_마현생창(동양고속)_왜관-태평건설_예정공정표" xfId="781" xr:uid="{00000000-0005-0000-0000-0000DC060000}"/>
    <cellStyle name="_부대입찰양식②_합덕-신례원(2공구)투찰_경찰서-터미널간도로(투찰)②_예정공정표" xfId="782" xr:uid="{00000000-0005-0000-0000-0000DD060000}"/>
    <cellStyle name="_부대입찰양식②_합덕-신례원(2공구)투찰_경찰서-터미널간도로(투찰)②_왜관-태평건설" xfId="783" xr:uid="{00000000-0005-0000-0000-0000DE060000}"/>
    <cellStyle name="_부대입찰양식②_합덕-신례원(2공구)투찰_경찰서-터미널간도로(투찰)②_왜관-태평건설_예정공정표" xfId="784" xr:uid="{00000000-0005-0000-0000-0000DF060000}"/>
    <cellStyle name="_부대입찰양식②_합덕-신례원(2공구)투찰_마현생창(동양고속)" xfId="785" xr:uid="{00000000-0005-0000-0000-0000E0060000}"/>
    <cellStyle name="_부대입찰양식②_합덕-신례원(2공구)투찰_마현생창(동양고속)_예정공정표" xfId="786" xr:uid="{00000000-0005-0000-0000-0000E1060000}"/>
    <cellStyle name="_부대입찰양식②_합덕-신례원(2공구)투찰_마현생창(동양고속)_왜관-태평건설" xfId="787" xr:uid="{00000000-0005-0000-0000-0000E2060000}"/>
    <cellStyle name="_부대입찰양식②_합덕-신례원(2공구)투찰_마현생창(동양고속)_왜관-태평건설_예정공정표" xfId="788" xr:uid="{00000000-0005-0000-0000-0000E3060000}"/>
    <cellStyle name="_부대입찰양식②_합덕-신례원(2공구)투찰_봉무지방산업단지도로(투찰)②" xfId="789" xr:uid="{00000000-0005-0000-0000-0000E4060000}"/>
    <cellStyle name="_부대입찰양식②_합덕-신례원(2공구)투찰_봉무지방산업단지도로(투찰)②_마현생창(동양고속)" xfId="790" xr:uid="{00000000-0005-0000-0000-0000E5060000}"/>
    <cellStyle name="_부대입찰양식②_합덕-신례원(2공구)투찰_봉무지방산업단지도로(투찰)②_마현생창(동양고속)_예정공정표" xfId="791" xr:uid="{00000000-0005-0000-0000-0000E6060000}"/>
    <cellStyle name="_부대입찰양식②_합덕-신례원(2공구)투찰_봉무지방산업단지도로(투찰)②_마현생창(동양고속)_왜관-태평건설" xfId="792" xr:uid="{00000000-0005-0000-0000-0000E7060000}"/>
    <cellStyle name="_부대입찰양식②_합덕-신례원(2공구)투찰_봉무지방산업단지도로(투찰)②_마현생창(동양고속)_왜관-태평건설_예정공정표" xfId="793" xr:uid="{00000000-0005-0000-0000-0000E8060000}"/>
    <cellStyle name="_부대입찰양식②_합덕-신례원(2공구)투찰_봉무지방산업단지도로(투찰)②_예정공정표" xfId="794" xr:uid="{00000000-0005-0000-0000-0000E9060000}"/>
    <cellStyle name="_부대입찰양식②_합덕-신례원(2공구)투찰_봉무지방산업단지도로(투찰)②_왜관-태평건설" xfId="795" xr:uid="{00000000-0005-0000-0000-0000EA060000}"/>
    <cellStyle name="_부대입찰양식②_합덕-신례원(2공구)투찰_봉무지방산업단지도로(투찰)②_왜관-태평건설_예정공정표" xfId="796" xr:uid="{00000000-0005-0000-0000-0000EB060000}"/>
    <cellStyle name="_부대입찰양식②_합덕-신례원(2공구)투찰_봉무지방산업단지도로(투찰)②+0.250%" xfId="797" xr:uid="{00000000-0005-0000-0000-0000EC060000}"/>
    <cellStyle name="_부대입찰양식②_합덕-신례원(2공구)투찰_봉무지방산업단지도로(투찰)②+0.250%_마현생창(동양고속)" xfId="798" xr:uid="{00000000-0005-0000-0000-0000ED060000}"/>
    <cellStyle name="_부대입찰양식②_합덕-신례원(2공구)투찰_봉무지방산업단지도로(투찰)②+0.250%_마현생창(동양고속)_예정공정표" xfId="799" xr:uid="{00000000-0005-0000-0000-0000EE060000}"/>
    <cellStyle name="_부대입찰양식②_합덕-신례원(2공구)투찰_봉무지방산업단지도로(투찰)②+0.250%_마현생창(동양고속)_왜관-태평건설" xfId="800" xr:uid="{00000000-0005-0000-0000-0000EF060000}"/>
    <cellStyle name="_부대입찰양식②_합덕-신례원(2공구)투찰_봉무지방산업단지도로(투찰)②+0.250%_마현생창(동양고속)_왜관-태평건설_예정공정표" xfId="801" xr:uid="{00000000-0005-0000-0000-0000F0060000}"/>
    <cellStyle name="_부대입찰양식②_합덕-신례원(2공구)투찰_봉무지방산업단지도로(투찰)②+0.250%_예정공정표" xfId="802" xr:uid="{00000000-0005-0000-0000-0000F1060000}"/>
    <cellStyle name="_부대입찰양식②_합덕-신례원(2공구)투찰_봉무지방산업단지도로(투찰)②+0.250%_왜관-태평건설" xfId="803" xr:uid="{00000000-0005-0000-0000-0000F2060000}"/>
    <cellStyle name="_부대입찰양식②_합덕-신례원(2공구)투찰_봉무지방산업단지도로(투찰)②+0.250%_왜관-태평건설_예정공정표" xfId="804" xr:uid="{00000000-0005-0000-0000-0000F3060000}"/>
    <cellStyle name="_부대입찰양식②_합덕-신례원(2공구)투찰_예정공정표" xfId="805" xr:uid="{00000000-0005-0000-0000-0000F4060000}"/>
    <cellStyle name="_부대입찰양식②_합덕-신례원(2공구)투찰_왜관-태평건설" xfId="806" xr:uid="{00000000-0005-0000-0000-0000F5060000}"/>
    <cellStyle name="_부대입찰양식②_합덕-신례원(2공구)투찰_왜관-태평건설_예정공정표" xfId="807" xr:uid="{00000000-0005-0000-0000-0000F6060000}"/>
    <cellStyle name="_부대입찰양식②_합덕-신례원(2공구)투찰_합덕-신례원(2공구)투찰" xfId="808" xr:uid="{00000000-0005-0000-0000-0000F7060000}"/>
    <cellStyle name="_부대입찰양식②_합덕-신례원(2공구)투찰_합덕-신례원(2공구)투찰_경찰서-터미널간도로(투찰)②" xfId="809" xr:uid="{00000000-0005-0000-0000-0000F8060000}"/>
    <cellStyle name="_부대입찰양식②_합덕-신례원(2공구)투찰_합덕-신례원(2공구)투찰_경찰서-터미널간도로(투찰)②_마현생창(동양고속)" xfId="810" xr:uid="{00000000-0005-0000-0000-0000F9060000}"/>
    <cellStyle name="_부대입찰양식②_합덕-신례원(2공구)투찰_합덕-신례원(2공구)투찰_경찰서-터미널간도로(투찰)②_마현생창(동양고속)_예정공정표" xfId="811" xr:uid="{00000000-0005-0000-0000-0000FA060000}"/>
    <cellStyle name="_부대입찰양식②_합덕-신례원(2공구)투찰_합덕-신례원(2공구)투찰_경찰서-터미널간도로(투찰)②_마현생창(동양고속)_왜관-태평건설" xfId="812" xr:uid="{00000000-0005-0000-0000-0000FB060000}"/>
    <cellStyle name="_부대입찰양식②_합덕-신례원(2공구)투찰_합덕-신례원(2공구)투찰_경찰서-터미널간도로(투찰)②_마현생창(동양고속)_왜관-태평건설_예정공정표" xfId="813" xr:uid="{00000000-0005-0000-0000-0000FC060000}"/>
    <cellStyle name="_부대입찰양식②_합덕-신례원(2공구)투찰_합덕-신례원(2공구)투찰_경찰서-터미널간도로(투찰)②_예정공정표" xfId="814" xr:uid="{00000000-0005-0000-0000-0000FD060000}"/>
    <cellStyle name="_부대입찰양식②_합덕-신례원(2공구)투찰_합덕-신례원(2공구)투찰_경찰서-터미널간도로(투찰)②_왜관-태평건설" xfId="815" xr:uid="{00000000-0005-0000-0000-0000FE060000}"/>
    <cellStyle name="_부대입찰양식②_합덕-신례원(2공구)투찰_합덕-신례원(2공구)투찰_경찰서-터미널간도로(투찰)②_왜관-태평건설_예정공정표" xfId="816" xr:uid="{00000000-0005-0000-0000-0000FF060000}"/>
    <cellStyle name="_부대입찰양식②_합덕-신례원(2공구)투찰_합덕-신례원(2공구)투찰_마현생창(동양고속)" xfId="817" xr:uid="{00000000-0005-0000-0000-000000070000}"/>
    <cellStyle name="_부대입찰양식②_합덕-신례원(2공구)투찰_합덕-신례원(2공구)투찰_마현생창(동양고속)_예정공정표" xfId="818" xr:uid="{00000000-0005-0000-0000-000001070000}"/>
    <cellStyle name="_부대입찰양식②_합덕-신례원(2공구)투찰_합덕-신례원(2공구)투찰_마현생창(동양고속)_왜관-태평건설" xfId="819" xr:uid="{00000000-0005-0000-0000-000002070000}"/>
    <cellStyle name="_부대입찰양식②_합덕-신례원(2공구)투찰_합덕-신례원(2공구)투찰_마현생창(동양고속)_왜관-태평건설_예정공정표" xfId="820" xr:uid="{00000000-0005-0000-0000-000003070000}"/>
    <cellStyle name="_부대입찰양식②_합덕-신례원(2공구)투찰_합덕-신례원(2공구)투찰_봉무지방산업단지도로(투찰)②" xfId="821" xr:uid="{00000000-0005-0000-0000-000004070000}"/>
    <cellStyle name="_부대입찰양식②_합덕-신례원(2공구)투찰_합덕-신례원(2공구)투찰_봉무지방산업단지도로(투찰)②_마현생창(동양고속)" xfId="822" xr:uid="{00000000-0005-0000-0000-000005070000}"/>
    <cellStyle name="_부대입찰양식②_합덕-신례원(2공구)투찰_합덕-신례원(2공구)투찰_봉무지방산업단지도로(투찰)②_마현생창(동양고속)_예정공정표" xfId="823" xr:uid="{00000000-0005-0000-0000-000006070000}"/>
    <cellStyle name="_부대입찰양식②_합덕-신례원(2공구)투찰_합덕-신례원(2공구)투찰_봉무지방산업단지도로(투찰)②_마현생창(동양고속)_왜관-태평건설" xfId="824" xr:uid="{00000000-0005-0000-0000-000007070000}"/>
    <cellStyle name="_부대입찰양식②_합덕-신례원(2공구)투찰_합덕-신례원(2공구)투찰_봉무지방산업단지도로(투찰)②_마현생창(동양고속)_왜관-태평건설_예정공정표" xfId="825" xr:uid="{00000000-0005-0000-0000-000008070000}"/>
    <cellStyle name="_부대입찰양식②_합덕-신례원(2공구)투찰_합덕-신례원(2공구)투찰_봉무지방산업단지도로(투찰)②_예정공정표" xfId="826" xr:uid="{00000000-0005-0000-0000-000009070000}"/>
    <cellStyle name="_부대입찰양식②_합덕-신례원(2공구)투찰_합덕-신례원(2공구)투찰_봉무지방산업단지도로(투찰)②_왜관-태평건설" xfId="827" xr:uid="{00000000-0005-0000-0000-00000A070000}"/>
    <cellStyle name="_부대입찰양식②_합덕-신례원(2공구)투찰_합덕-신례원(2공구)투찰_봉무지방산업단지도로(투찰)②_왜관-태평건설_예정공정표" xfId="828" xr:uid="{00000000-0005-0000-0000-00000B070000}"/>
    <cellStyle name="_부대입찰양식②_합덕-신례원(2공구)투찰_합덕-신례원(2공구)투찰_봉무지방산업단지도로(투찰)②+0.250%" xfId="829" xr:uid="{00000000-0005-0000-0000-00000C070000}"/>
    <cellStyle name="_부대입찰양식②_합덕-신례원(2공구)투찰_합덕-신례원(2공구)투찰_봉무지방산업단지도로(투찰)②+0.250%_마현생창(동양고속)" xfId="830" xr:uid="{00000000-0005-0000-0000-00000D070000}"/>
    <cellStyle name="_부대입찰양식②_합덕-신례원(2공구)투찰_합덕-신례원(2공구)투찰_봉무지방산업단지도로(투찰)②+0.250%_마현생창(동양고속)_예정공정표" xfId="831" xr:uid="{00000000-0005-0000-0000-00000E070000}"/>
    <cellStyle name="_부대입찰양식②_합덕-신례원(2공구)투찰_합덕-신례원(2공구)투찰_봉무지방산업단지도로(투찰)②+0.250%_마현생창(동양고속)_왜관-태평건설" xfId="832" xr:uid="{00000000-0005-0000-0000-00000F070000}"/>
    <cellStyle name="_부대입찰양식②_합덕-신례원(2공구)투찰_합덕-신례원(2공구)투찰_봉무지방산업단지도로(투찰)②+0.250%_마현생창(동양고속)_왜관-태평건설_예정공정표" xfId="833" xr:uid="{00000000-0005-0000-0000-000010070000}"/>
    <cellStyle name="_부대입찰양식②_합덕-신례원(2공구)투찰_합덕-신례원(2공구)투찰_봉무지방산업단지도로(투찰)②+0.250%_예정공정표" xfId="834" xr:uid="{00000000-0005-0000-0000-000011070000}"/>
    <cellStyle name="_부대입찰양식②_합덕-신례원(2공구)투찰_합덕-신례원(2공구)투찰_봉무지방산업단지도로(투찰)②+0.250%_왜관-태평건설" xfId="835" xr:uid="{00000000-0005-0000-0000-000012070000}"/>
    <cellStyle name="_부대입찰양식②_합덕-신례원(2공구)투찰_합덕-신례원(2공구)투찰_봉무지방산업단지도로(투찰)②+0.250%_왜관-태평건설_예정공정표" xfId="836" xr:uid="{00000000-0005-0000-0000-000013070000}"/>
    <cellStyle name="_부대입찰양식②_합덕-신례원(2공구)투찰_합덕-신례원(2공구)투찰_예정공정표" xfId="837" xr:uid="{00000000-0005-0000-0000-000014070000}"/>
    <cellStyle name="_부대입찰양식②_합덕-신례원(2공구)투찰_합덕-신례원(2공구)투찰_왜관-태평건설" xfId="838" xr:uid="{00000000-0005-0000-0000-000015070000}"/>
    <cellStyle name="_부대입찰양식②_합덕-신례원(2공구)투찰_합덕-신례원(2공구)투찰_왜관-태평건설_예정공정표" xfId="839" xr:uid="{00000000-0005-0000-0000-000016070000}"/>
    <cellStyle name="_부대입찰확약서" xfId="3627" xr:uid="{00000000-0005-0000-0000-000017070000}"/>
    <cellStyle name="_부안지구투찰2" xfId="3628" xr:uid="{00000000-0005-0000-0000-000018070000}"/>
    <cellStyle name="_부창교상부" xfId="3629" xr:uid="{00000000-0005-0000-0000-000019070000}"/>
    <cellStyle name="_부천범박동" xfId="840" xr:uid="{00000000-0005-0000-0000-00001A070000}"/>
    <cellStyle name="_부평배수지(투찰)" xfId="841" xr:uid="{00000000-0005-0000-0000-00001B070000}"/>
    <cellStyle name="_부평배수지(투찰)_경찰서-터미널간도로(투찰)②" xfId="842" xr:uid="{00000000-0005-0000-0000-00001C070000}"/>
    <cellStyle name="_부평배수지(투찰)_경찰서-터미널간도로(투찰)②_마현생창(동양고속)" xfId="843" xr:uid="{00000000-0005-0000-0000-00001D070000}"/>
    <cellStyle name="_부평배수지(투찰)_경찰서-터미널간도로(투찰)②_마현생창(동양고속)_예정공정표" xfId="844" xr:uid="{00000000-0005-0000-0000-00001E070000}"/>
    <cellStyle name="_부평배수지(투찰)_경찰서-터미널간도로(투찰)②_마현생창(동양고속)_왜관-태평건설" xfId="845" xr:uid="{00000000-0005-0000-0000-00001F070000}"/>
    <cellStyle name="_부평배수지(투찰)_경찰서-터미널간도로(투찰)②_마현생창(동양고속)_왜관-태평건설_예정공정표" xfId="846" xr:uid="{00000000-0005-0000-0000-000020070000}"/>
    <cellStyle name="_부평배수지(투찰)_경찰서-터미널간도로(투찰)②_예정공정표" xfId="847" xr:uid="{00000000-0005-0000-0000-000021070000}"/>
    <cellStyle name="_부평배수지(투찰)_경찰서-터미널간도로(투찰)②_왜관-태평건설" xfId="848" xr:uid="{00000000-0005-0000-0000-000022070000}"/>
    <cellStyle name="_부평배수지(투찰)_경찰서-터미널간도로(투찰)②_왜관-태평건설_예정공정표" xfId="849" xr:uid="{00000000-0005-0000-0000-000023070000}"/>
    <cellStyle name="_부평배수지(투찰)_마현생창(동양고속)" xfId="850" xr:uid="{00000000-0005-0000-0000-000024070000}"/>
    <cellStyle name="_부평배수지(투찰)_마현생창(동양고속)_예정공정표" xfId="851" xr:uid="{00000000-0005-0000-0000-000025070000}"/>
    <cellStyle name="_부평배수지(투찰)_마현생창(동양고속)_왜관-태평건설" xfId="852" xr:uid="{00000000-0005-0000-0000-000026070000}"/>
    <cellStyle name="_부평배수지(투찰)_마현생창(동양고속)_왜관-태평건설_예정공정표" xfId="853" xr:uid="{00000000-0005-0000-0000-000027070000}"/>
    <cellStyle name="_부평배수지(투찰)_봉무지방산업단지도로(투찰)②" xfId="854" xr:uid="{00000000-0005-0000-0000-000028070000}"/>
    <cellStyle name="_부평배수지(투찰)_봉무지방산업단지도로(투찰)②_마현생창(동양고속)" xfId="855" xr:uid="{00000000-0005-0000-0000-000029070000}"/>
    <cellStyle name="_부평배수지(투찰)_봉무지방산업단지도로(투찰)②_마현생창(동양고속)_예정공정표" xfId="856" xr:uid="{00000000-0005-0000-0000-00002A070000}"/>
    <cellStyle name="_부평배수지(투찰)_봉무지방산업단지도로(투찰)②_마현생창(동양고속)_왜관-태평건설" xfId="857" xr:uid="{00000000-0005-0000-0000-00002B070000}"/>
    <cellStyle name="_부평배수지(투찰)_봉무지방산업단지도로(투찰)②_마현생창(동양고속)_왜관-태평건설_예정공정표" xfId="858" xr:uid="{00000000-0005-0000-0000-00002C070000}"/>
    <cellStyle name="_부평배수지(투찰)_봉무지방산업단지도로(투찰)②_예정공정표" xfId="859" xr:uid="{00000000-0005-0000-0000-00002D070000}"/>
    <cellStyle name="_부평배수지(투찰)_봉무지방산업단지도로(투찰)②_왜관-태평건설" xfId="860" xr:uid="{00000000-0005-0000-0000-00002E070000}"/>
    <cellStyle name="_부평배수지(투찰)_봉무지방산업단지도로(투찰)②_왜관-태평건설_예정공정표" xfId="861" xr:uid="{00000000-0005-0000-0000-00002F070000}"/>
    <cellStyle name="_부평배수지(투찰)_봉무지방산업단지도로(투찰)②+0.250%" xfId="862" xr:uid="{00000000-0005-0000-0000-000030070000}"/>
    <cellStyle name="_부평배수지(투찰)_봉무지방산업단지도로(투찰)②+0.250%_마현생창(동양고속)" xfId="863" xr:uid="{00000000-0005-0000-0000-000031070000}"/>
    <cellStyle name="_부평배수지(투찰)_봉무지방산업단지도로(투찰)②+0.250%_마현생창(동양고속)_예정공정표" xfId="864" xr:uid="{00000000-0005-0000-0000-000032070000}"/>
    <cellStyle name="_부평배수지(투찰)_봉무지방산업단지도로(투찰)②+0.250%_마현생창(동양고속)_왜관-태평건설" xfId="865" xr:uid="{00000000-0005-0000-0000-000033070000}"/>
    <cellStyle name="_부평배수지(투찰)_봉무지방산업단지도로(투찰)②+0.250%_마현생창(동양고속)_왜관-태평건설_예정공정표" xfId="866" xr:uid="{00000000-0005-0000-0000-000034070000}"/>
    <cellStyle name="_부평배수지(투찰)_봉무지방산업단지도로(투찰)②+0.250%_예정공정표" xfId="867" xr:uid="{00000000-0005-0000-0000-000035070000}"/>
    <cellStyle name="_부평배수지(투찰)_봉무지방산업단지도로(투찰)②+0.250%_왜관-태평건설" xfId="868" xr:uid="{00000000-0005-0000-0000-000036070000}"/>
    <cellStyle name="_부평배수지(투찰)_봉무지방산업단지도로(투찰)②+0.250%_왜관-태평건설_예정공정표" xfId="869" xr:uid="{00000000-0005-0000-0000-000037070000}"/>
    <cellStyle name="_부평배수지(투찰)_예정공정표" xfId="870" xr:uid="{00000000-0005-0000-0000-000038070000}"/>
    <cellStyle name="_부평배수지(투찰)_왜관-태평건설" xfId="871" xr:uid="{00000000-0005-0000-0000-000039070000}"/>
    <cellStyle name="_부평배수지(투찰)_왜관-태평건설_예정공정표" xfId="872" xr:uid="{00000000-0005-0000-0000-00003A070000}"/>
    <cellStyle name="_부평배수지(투찰)_합덕-신례원(2공구)투찰" xfId="873" xr:uid="{00000000-0005-0000-0000-00003B070000}"/>
    <cellStyle name="_부평배수지(투찰)_합덕-신례원(2공구)투찰_경찰서-터미널간도로(투찰)②" xfId="874" xr:uid="{00000000-0005-0000-0000-00003C070000}"/>
    <cellStyle name="_부평배수지(투찰)_합덕-신례원(2공구)투찰_경찰서-터미널간도로(투찰)②_마현생창(동양고속)" xfId="875" xr:uid="{00000000-0005-0000-0000-00003D070000}"/>
    <cellStyle name="_부평배수지(투찰)_합덕-신례원(2공구)투찰_경찰서-터미널간도로(투찰)②_마현생창(동양고속)_예정공정표" xfId="876" xr:uid="{00000000-0005-0000-0000-00003E070000}"/>
    <cellStyle name="_부평배수지(투찰)_합덕-신례원(2공구)투찰_경찰서-터미널간도로(투찰)②_마현생창(동양고속)_왜관-태평건설" xfId="877" xr:uid="{00000000-0005-0000-0000-00003F070000}"/>
    <cellStyle name="_부평배수지(투찰)_합덕-신례원(2공구)투찰_경찰서-터미널간도로(투찰)②_마현생창(동양고속)_왜관-태평건설_예정공정표" xfId="878" xr:uid="{00000000-0005-0000-0000-000040070000}"/>
    <cellStyle name="_부평배수지(투찰)_합덕-신례원(2공구)투찰_경찰서-터미널간도로(투찰)②_예정공정표" xfId="879" xr:uid="{00000000-0005-0000-0000-000041070000}"/>
    <cellStyle name="_부평배수지(투찰)_합덕-신례원(2공구)투찰_경찰서-터미널간도로(투찰)②_왜관-태평건설" xfId="880" xr:uid="{00000000-0005-0000-0000-000042070000}"/>
    <cellStyle name="_부평배수지(투찰)_합덕-신례원(2공구)투찰_경찰서-터미널간도로(투찰)②_왜관-태평건설_예정공정표" xfId="881" xr:uid="{00000000-0005-0000-0000-000043070000}"/>
    <cellStyle name="_부평배수지(투찰)_합덕-신례원(2공구)투찰_마현생창(동양고속)" xfId="882" xr:uid="{00000000-0005-0000-0000-000044070000}"/>
    <cellStyle name="_부평배수지(투찰)_합덕-신례원(2공구)투찰_마현생창(동양고속)_예정공정표" xfId="883" xr:uid="{00000000-0005-0000-0000-000045070000}"/>
    <cellStyle name="_부평배수지(투찰)_합덕-신례원(2공구)투찰_마현생창(동양고속)_왜관-태평건설" xfId="884" xr:uid="{00000000-0005-0000-0000-000046070000}"/>
    <cellStyle name="_부평배수지(투찰)_합덕-신례원(2공구)투찰_마현생창(동양고속)_왜관-태평건설_예정공정표" xfId="885" xr:uid="{00000000-0005-0000-0000-000047070000}"/>
    <cellStyle name="_부평배수지(투찰)_합덕-신례원(2공구)투찰_봉무지방산업단지도로(투찰)②" xfId="886" xr:uid="{00000000-0005-0000-0000-000048070000}"/>
    <cellStyle name="_부평배수지(투찰)_합덕-신례원(2공구)투찰_봉무지방산업단지도로(투찰)②_마현생창(동양고속)" xfId="887" xr:uid="{00000000-0005-0000-0000-000049070000}"/>
    <cellStyle name="_부평배수지(투찰)_합덕-신례원(2공구)투찰_봉무지방산업단지도로(투찰)②_마현생창(동양고속)_예정공정표" xfId="888" xr:uid="{00000000-0005-0000-0000-00004A070000}"/>
    <cellStyle name="_부평배수지(투찰)_합덕-신례원(2공구)투찰_봉무지방산업단지도로(투찰)②_마현생창(동양고속)_왜관-태평건설" xfId="889" xr:uid="{00000000-0005-0000-0000-00004B070000}"/>
    <cellStyle name="_부평배수지(투찰)_합덕-신례원(2공구)투찰_봉무지방산업단지도로(투찰)②_마현생창(동양고속)_왜관-태평건설_예정공정표" xfId="890" xr:uid="{00000000-0005-0000-0000-00004C070000}"/>
    <cellStyle name="_부평배수지(투찰)_합덕-신례원(2공구)투찰_봉무지방산업단지도로(투찰)②_예정공정표" xfId="891" xr:uid="{00000000-0005-0000-0000-00004D070000}"/>
    <cellStyle name="_부평배수지(투찰)_합덕-신례원(2공구)투찰_봉무지방산업단지도로(투찰)②_왜관-태평건설" xfId="892" xr:uid="{00000000-0005-0000-0000-00004E070000}"/>
    <cellStyle name="_부평배수지(투찰)_합덕-신례원(2공구)투찰_봉무지방산업단지도로(투찰)②_왜관-태평건설_예정공정표" xfId="893" xr:uid="{00000000-0005-0000-0000-00004F070000}"/>
    <cellStyle name="_부평배수지(투찰)_합덕-신례원(2공구)투찰_봉무지방산업단지도로(투찰)②+0.250%" xfId="894" xr:uid="{00000000-0005-0000-0000-000050070000}"/>
    <cellStyle name="_부평배수지(투찰)_합덕-신례원(2공구)투찰_봉무지방산업단지도로(투찰)②+0.250%_마현생창(동양고속)" xfId="895" xr:uid="{00000000-0005-0000-0000-000051070000}"/>
    <cellStyle name="_부평배수지(투찰)_합덕-신례원(2공구)투찰_봉무지방산업단지도로(투찰)②+0.250%_마현생창(동양고속)_예정공정표" xfId="896" xr:uid="{00000000-0005-0000-0000-000052070000}"/>
    <cellStyle name="_부평배수지(투찰)_합덕-신례원(2공구)투찰_봉무지방산업단지도로(투찰)②+0.250%_마현생창(동양고속)_왜관-태평건설" xfId="897" xr:uid="{00000000-0005-0000-0000-000053070000}"/>
    <cellStyle name="_부평배수지(투찰)_합덕-신례원(2공구)투찰_봉무지방산업단지도로(투찰)②+0.250%_마현생창(동양고속)_왜관-태평건설_예정공정표" xfId="898" xr:uid="{00000000-0005-0000-0000-000054070000}"/>
    <cellStyle name="_부평배수지(투찰)_합덕-신례원(2공구)투찰_봉무지방산업단지도로(투찰)②+0.250%_예정공정표" xfId="899" xr:uid="{00000000-0005-0000-0000-000055070000}"/>
    <cellStyle name="_부평배수지(투찰)_합덕-신례원(2공구)투찰_봉무지방산업단지도로(투찰)②+0.250%_왜관-태평건설" xfId="900" xr:uid="{00000000-0005-0000-0000-000056070000}"/>
    <cellStyle name="_부평배수지(투찰)_합덕-신례원(2공구)투찰_봉무지방산업단지도로(투찰)②+0.250%_왜관-태평건설_예정공정표" xfId="901" xr:uid="{00000000-0005-0000-0000-000057070000}"/>
    <cellStyle name="_부평배수지(투찰)_합덕-신례원(2공구)투찰_예정공정표" xfId="902" xr:uid="{00000000-0005-0000-0000-000058070000}"/>
    <cellStyle name="_부평배수지(투찰)_합덕-신례원(2공구)투찰_왜관-태평건설" xfId="903" xr:uid="{00000000-0005-0000-0000-000059070000}"/>
    <cellStyle name="_부평배수지(투찰)_합덕-신례원(2공구)투찰_왜관-태평건설_예정공정표" xfId="904" xr:uid="{00000000-0005-0000-0000-00005A070000}"/>
    <cellStyle name="_부평배수지(투찰)_합덕-신례원(2공구)투찰_합덕-신례원(2공구)투찰" xfId="905" xr:uid="{00000000-0005-0000-0000-00005B070000}"/>
    <cellStyle name="_부평배수지(투찰)_합덕-신례원(2공구)투찰_합덕-신례원(2공구)투찰_경찰서-터미널간도로(투찰)②" xfId="906" xr:uid="{00000000-0005-0000-0000-00005C070000}"/>
    <cellStyle name="_부평배수지(투찰)_합덕-신례원(2공구)투찰_합덕-신례원(2공구)투찰_경찰서-터미널간도로(투찰)②_마현생창(동양고속)" xfId="907" xr:uid="{00000000-0005-0000-0000-00005D070000}"/>
    <cellStyle name="_부평배수지(투찰)_합덕-신례원(2공구)투찰_합덕-신례원(2공구)투찰_경찰서-터미널간도로(투찰)②_마현생창(동양고속)_예정공정표" xfId="908" xr:uid="{00000000-0005-0000-0000-00005E070000}"/>
    <cellStyle name="_부평배수지(투찰)_합덕-신례원(2공구)투찰_합덕-신례원(2공구)투찰_경찰서-터미널간도로(투찰)②_마현생창(동양고속)_왜관-태평건설" xfId="909" xr:uid="{00000000-0005-0000-0000-00005F070000}"/>
    <cellStyle name="_부평배수지(투찰)_합덕-신례원(2공구)투찰_합덕-신례원(2공구)투찰_경찰서-터미널간도로(투찰)②_마현생창(동양고속)_왜관-태평건설_예정공정표" xfId="910" xr:uid="{00000000-0005-0000-0000-000060070000}"/>
    <cellStyle name="_부평배수지(투찰)_합덕-신례원(2공구)투찰_합덕-신례원(2공구)투찰_경찰서-터미널간도로(투찰)②_예정공정표" xfId="911" xr:uid="{00000000-0005-0000-0000-000061070000}"/>
    <cellStyle name="_부평배수지(투찰)_합덕-신례원(2공구)투찰_합덕-신례원(2공구)투찰_경찰서-터미널간도로(투찰)②_왜관-태평건설" xfId="912" xr:uid="{00000000-0005-0000-0000-000062070000}"/>
    <cellStyle name="_부평배수지(투찰)_합덕-신례원(2공구)투찰_합덕-신례원(2공구)투찰_경찰서-터미널간도로(투찰)②_왜관-태평건설_예정공정표" xfId="913" xr:uid="{00000000-0005-0000-0000-000063070000}"/>
    <cellStyle name="_부평배수지(투찰)_합덕-신례원(2공구)투찰_합덕-신례원(2공구)투찰_마현생창(동양고속)" xfId="914" xr:uid="{00000000-0005-0000-0000-000064070000}"/>
    <cellStyle name="_부평배수지(투찰)_합덕-신례원(2공구)투찰_합덕-신례원(2공구)투찰_마현생창(동양고속)_예정공정표" xfId="915" xr:uid="{00000000-0005-0000-0000-000065070000}"/>
    <cellStyle name="_부평배수지(투찰)_합덕-신례원(2공구)투찰_합덕-신례원(2공구)투찰_마현생창(동양고속)_왜관-태평건설" xfId="916" xr:uid="{00000000-0005-0000-0000-000066070000}"/>
    <cellStyle name="_부평배수지(투찰)_합덕-신례원(2공구)투찰_합덕-신례원(2공구)투찰_마현생창(동양고속)_왜관-태평건설_예정공정표" xfId="917" xr:uid="{00000000-0005-0000-0000-000067070000}"/>
    <cellStyle name="_부평배수지(투찰)_합덕-신례원(2공구)투찰_합덕-신례원(2공구)투찰_봉무지방산업단지도로(투찰)②" xfId="918" xr:uid="{00000000-0005-0000-0000-000068070000}"/>
    <cellStyle name="_부평배수지(투찰)_합덕-신례원(2공구)투찰_합덕-신례원(2공구)투찰_봉무지방산업단지도로(투찰)②_마현생창(동양고속)" xfId="919" xr:uid="{00000000-0005-0000-0000-000069070000}"/>
    <cellStyle name="_부평배수지(투찰)_합덕-신례원(2공구)투찰_합덕-신례원(2공구)투찰_봉무지방산업단지도로(투찰)②_마현생창(동양고속)_예정공정표" xfId="920" xr:uid="{00000000-0005-0000-0000-00006A070000}"/>
    <cellStyle name="_부평배수지(투찰)_합덕-신례원(2공구)투찰_합덕-신례원(2공구)투찰_봉무지방산업단지도로(투찰)②_마현생창(동양고속)_왜관-태평건설" xfId="921" xr:uid="{00000000-0005-0000-0000-00006B070000}"/>
    <cellStyle name="_부평배수지(투찰)_합덕-신례원(2공구)투찰_합덕-신례원(2공구)투찰_봉무지방산업단지도로(투찰)②_마현생창(동양고속)_왜관-태평건설_예정공정표" xfId="922" xr:uid="{00000000-0005-0000-0000-00006C070000}"/>
    <cellStyle name="_부평배수지(투찰)_합덕-신례원(2공구)투찰_합덕-신례원(2공구)투찰_봉무지방산업단지도로(투찰)②_예정공정표" xfId="923" xr:uid="{00000000-0005-0000-0000-00006D070000}"/>
    <cellStyle name="_부평배수지(투찰)_합덕-신례원(2공구)투찰_합덕-신례원(2공구)투찰_봉무지방산업단지도로(투찰)②_왜관-태평건설" xfId="924" xr:uid="{00000000-0005-0000-0000-00006E070000}"/>
    <cellStyle name="_부평배수지(투찰)_합덕-신례원(2공구)투찰_합덕-신례원(2공구)투찰_봉무지방산업단지도로(투찰)②_왜관-태평건설_예정공정표" xfId="925" xr:uid="{00000000-0005-0000-0000-00006F070000}"/>
    <cellStyle name="_부평배수지(투찰)_합덕-신례원(2공구)투찰_합덕-신례원(2공구)투찰_봉무지방산업단지도로(투찰)②+0.250%" xfId="926" xr:uid="{00000000-0005-0000-0000-000070070000}"/>
    <cellStyle name="_부평배수지(투찰)_합덕-신례원(2공구)투찰_합덕-신례원(2공구)투찰_봉무지방산업단지도로(투찰)②+0.250%_마현생창(동양고속)" xfId="927" xr:uid="{00000000-0005-0000-0000-000071070000}"/>
    <cellStyle name="_부평배수지(투찰)_합덕-신례원(2공구)투찰_합덕-신례원(2공구)투찰_봉무지방산업단지도로(투찰)②+0.250%_마현생창(동양고속)_예정공정표" xfId="928" xr:uid="{00000000-0005-0000-0000-000072070000}"/>
    <cellStyle name="_부평배수지(투찰)_합덕-신례원(2공구)투찰_합덕-신례원(2공구)투찰_봉무지방산업단지도로(투찰)②+0.250%_마현생창(동양고속)_왜관-태평건설" xfId="929" xr:uid="{00000000-0005-0000-0000-000073070000}"/>
    <cellStyle name="_부평배수지(투찰)_합덕-신례원(2공구)투찰_합덕-신례원(2공구)투찰_봉무지방산업단지도로(투찰)②+0.250%_마현생창(동양고속)_왜관-태평건설_예정공정표" xfId="930" xr:uid="{00000000-0005-0000-0000-000074070000}"/>
    <cellStyle name="_부평배수지(투찰)_합덕-신례원(2공구)투찰_합덕-신례원(2공구)투찰_봉무지방산업단지도로(투찰)②+0.250%_예정공정표" xfId="931" xr:uid="{00000000-0005-0000-0000-000075070000}"/>
    <cellStyle name="_부평배수지(투찰)_합덕-신례원(2공구)투찰_합덕-신례원(2공구)투찰_봉무지방산업단지도로(투찰)②+0.250%_왜관-태평건설" xfId="932" xr:uid="{00000000-0005-0000-0000-000076070000}"/>
    <cellStyle name="_부평배수지(투찰)_합덕-신례원(2공구)투찰_합덕-신례원(2공구)투찰_봉무지방산업단지도로(투찰)②+0.250%_왜관-태평건설_예정공정표" xfId="933" xr:uid="{00000000-0005-0000-0000-000077070000}"/>
    <cellStyle name="_부평배수지(투찰)_합덕-신례원(2공구)투찰_합덕-신례원(2공구)투찰_예정공정표" xfId="934" xr:uid="{00000000-0005-0000-0000-000078070000}"/>
    <cellStyle name="_부평배수지(투찰)_합덕-신례원(2공구)투찰_합덕-신례원(2공구)투찰_왜관-태평건설" xfId="935" xr:uid="{00000000-0005-0000-0000-000079070000}"/>
    <cellStyle name="_부평배수지(투찰)_합덕-신례원(2공구)투찰_합덕-신례원(2공구)투찰_왜관-태평건설_예정공정표" xfId="936" xr:uid="{00000000-0005-0000-0000-00007A070000}"/>
    <cellStyle name="_북한영상관실시설계(040309)" xfId="3630" xr:uid="{00000000-0005-0000-0000-00007B070000}"/>
    <cellStyle name="_분당 트리폴리스 II 견적작업" xfId="3631" xr:uid="{00000000-0005-0000-0000-00007C070000}"/>
    <cellStyle name="_분전반" xfId="937" xr:uid="{00000000-0005-0000-0000-00007D070000}"/>
    <cellStyle name="_브랜드개발" xfId="3632" xr:uid="{00000000-0005-0000-0000-00007E070000}"/>
    <cellStyle name="_사물함(최종)" xfId="3633" xr:uid="{00000000-0005-0000-0000-00007F070000}"/>
    <cellStyle name="_사본 - 전기(2)" xfId="938" xr:uid="{00000000-0005-0000-0000-000080070000}"/>
    <cellStyle name="_사본 - 하마2교-수량" xfId="3634" xr:uid="{00000000-0005-0000-0000-000081070000}"/>
    <cellStyle name="_사본 - 하마2교-수량_토공량" xfId="3635" xr:uid="{00000000-0005-0000-0000-000082070000}"/>
    <cellStyle name="_사용전검사비" xfId="939" xr:uid="{00000000-0005-0000-0000-000083070000}"/>
    <cellStyle name="_사용전검사비산정비" xfId="940" xr:uid="{00000000-0005-0000-0000-000084070000}"/>
    <cellStyle name="_사이버 컴퓨터 보드외 5종-최종" xfId="3636" xr:uid="{00000000-0005-0000-0000-000085070000}"/>
    <cellStyle name="_사인" xfId="3637" xr:uid="{00000000-0005-0000-0000-000086070000}"/>
    <cellStyle name="_산동 농협동로지소 청사 신축공사-1" xfId="941" xr:uid="{00000000-0005-0000-0000-000087070000}"/>
    <cellStyle name="_산동 농협동로지소 청사 신축공사-1_1" xfId="942" xr:uid="{00000000-0005-0000-0000-000088070000}"/>
    <cellStyle name="_산출(신현터널 일운)" xfId="3638" xr:uid="{00000000-0005-0000-0000-000089070000}"/>
    <cellStyle name="_산출내역서1" xfId="943" xr:uid="{00000000-0005-0000-0000-00008A070000}"/>
    <cellStyle name="_산출내역서1_1. 전기(구지면사무소)" xfId="3639" xr:uid="{00000000-0005-0000-0000-00008B070000}"/>
    <cellStyle name="_산출내역서1_내역서,공량(어린이회관)-1" xfId="944" xr:uid="{00000000-0005-0000-0000-00008C070000}"/>
    <cellStyle name="_산출내역서1_전기내역서" xfId="945" xr:uid="{00000000-0005-0000-0000-00008D070000}"/>
    <cellStyle name="_상부및총괄수량" xfId="3640" xr:uid="{00000000-0005-0000-0000-00008E070000}"/>
    <cellStyle name="_상원-외등설치" xfId="946" xr:uid="{00000000-0005-0000-0000-00008F070000}"/>
    <cellStyle name="_상주한방병원전기" xfId="947" xr:uid="{00000000-0005-0000-0000-000090070000}"/>
    <cellStyle name="_샤워식분무기(최종)" xfId="3641" xr:uid="{00000000-0005-0000-0000-000091070000}"/>
    <cellStyle name="_서울 지하철 7호선 연장 내역서" xfId="3642" xr:uid="{00000000-0005-0000-0000-000092070000}"/>
    <cellStyle name="_서울과학관의장" xfId="3643" xr:uid="{00000000-0005-0000-0000-000093070000}"/>
    <cellStyle name="_서울여대(20020516)" xfId="948" xr:uid="{00000000-0005-0000-0000-000094070000}"/>
    <cellStyle name="_서천공주7부대품의" xfId="3644" xr:uid="{00000000-0005-0000-0000-000095070000}"/>
    <cellStyle name="_서천공주7부대품의_6월기성" xfId="3645" xr:uid="{00000000-0005-0000-0000-000096070000}"/>
    <cellStyle name="_서천공주7부대품의_6월기성_원등수량" xfId="3646" xr:uid="{00000000-0005-0000-0000-000097070000}"/>
    <cellStyle name="_서천공주7부대품의_원등수량" xfId="3647" xr:uid="{00000000-0005-0000-0000-000098070000}"/>
    <cellStyle name="_석축공" xfId="3648" xr:uid="{00000000-0005-0000-0000-000099070000}"/>
    <cellStyle name="_설계변경내역서(1회총괄)" xfId="949" xr:uid="{00000000-0005-0000-0000-00009A070000}"/>
    <cellStyle name="_설계변경내역서(통신)" xfId="950" xr:uid="{00000000-0005-0000-0000-00009B070000}"/>
    <cellStyle name="_설계변경앞지" xfId="951" xr:uid="{00000000-0005-0000-0000-00009C070000}"/>
    <cellStyle name="_설계변경앞지(2차)" xfId="952" xr:uid="{00000000-0005-0000-0000-00009D070000}"/>
    <cellStyle name="_설계변경앞지(총괄)" xfId="953" xr:uid="{00000000-0005-0000-0000-00009E070000}"/>
    <cellStyle name="_설계변경완료(518)" xfId="3649" xr:uid="{00000000-0005-0000-0000-00009F070000}"/>
    <cellStyle name="_설계변경총괄(토목,건축,기계,조경)01" xfId="954" xr:uid="{00000000-0005-0000-0000-0000A0070000}"/>
    <cellStyle name="_설계변경총괄(토목,건축,기계,조경)02" xfId="955" xr:uid="{00000000-0005-0000-0000-0000A1070000}"/>
    <cellStyle name="_설계서 용지" xfId="956" xr:uid="{00000000-0005-0000-0000-0000A2070000}"/>
    <cellStyle name="_설계서(040701)" xfId="3650" xr:uid="{00000000-0005-0000-0000-0000A3070000}"/>
    <cellStyle name="_설계서(0522)" xfId="3651" xr:uid="{00000000-0005-0000-0000-0000A4070000}"/>
    <cellStyle name="_설계서(전체분3회변경)" xfId="957" xr:uid="{00000000-0005-0000-0000-0000A5070000}"/>
    <cellStyle name="_설계서(최종)" xfId="3652" xr:uid="{00000000-0005-0000-0000-0000A6070000}"/>
    <cellStyle name="_설계서(최종)_부산대학교-연구동(샘플)" xfId="3653" xr:uid="{00000000-0005-0000-0000-0000A7070000}"/>
    <cellStyle name="_설계서-광산로" xfId="958" xr:uid="{00000000-0005-0000-0000-0000A8070000}"/>
    <cellStyle name="_설계원가 및 손익계산서(극장)" xfId="959" xr:uid="{00000000-0005-0000-0000-0000A9070000}"/>
    <cellStyle name="_설계원가 및 손익계산서(백화점)" xfId="960" xr:uid="{00000000-0005-0000-0000-0000AA070000}"/>
    <cellStyle name="_설계원가 및 손익계산서(이광환)" xfId="961" xr:uid="{00000000-0005-0000-0000-0000AB070000}"/>
    <cellStyle name="_설비(1218)" xfId="962" xr:uid="{00000000-0005-0000-0000-0000AC070000}"/>
    <cellStyle name="_설비공사" xfId="963" xr:uid="{00000000-0005-0000-0000-0000AD070000}"/>
    <cellStyle name="_설비공사 공내역서(신성서)-제출" xfId="964" xr:uid="{00000000-0005-0000-0000-0000AE070000}"/>
    <cellStyle name="_설치내역300kw" xfId="965" xr:uid="{00000000-0005-0000-0000-0000AF070000}"/>
    <cellStyle name="_섬진강 산출서" xfId="3655" xr:uid="{00000000-0005-0000-0000-0000B0070000}"/>
    <cellStyle name="_성서이곡운동장0316" xfId="966" xr:uid="{00000000-0005-0000-0000-0000B1070000}"/>
    <cellStyle name="_성서이곡테니스장" xfId="967" xr:uid="{00000000-0005-0000-0000-0000B2070000}"/>
    <cellStyle name="_세원IBS-한림대학교" xfId="3656" xr:uid="{00000000-0005-0000-0000-0000B3070000}"/>
    <cellStyle name="_소방" xfId="968" xr:uid="{00000000-0005-0000-0000-0000B4070000}"/>
    <cellStyle name="_소방내역서(동사무소)최종본" xfId="969" xr:uid="{00000000-0005-0000-0000-0000B5070000}"/>
    <cellStyle name="_송현실행내역" xfId="3657" xr:uid="{00000000-0005-0000-0000-0000B6070000}"/>
    <cellStyle name="_수량" xfId="3658" xr:uid="{00000000-0005-0000-0000-0000B7070000}"/>
    <cellStyle name="_수량산출서(신규)" xfId="3659" xr:uid="{00000000-0005-0000-0000-0000B8070000}"/>
    <cellStyle name="_수량집계" xfId="3660" xr:uid="{00000000-0005-0000-0000-0000B9070000}"/>
    <cellStyle name="_수량표(아주포함)" xfId="3661" xr:uid="{00000000-0005-0000-0000-0000BA070000}"/>
    <cellStyle name="_수배전반" xfId="970" xr:uid="{00000000-0005-0000-0000-0000BB070000}"/>
    <cellStyle name="_수백교상부" xfId="3662" xr:uid="{00000000-0005-0000-0000-0000BC070000}"/>
    <cellStyle name="_수수료" xfId="971" xr:uid="{00000000-0005-0000-0000-0000BD070000}"/>
    <cellStyle name="_스튜디오" xfId="972" xr:uid="{00000000-0005-0000-0000-0000BE070000}"/>
    <cellStyle name="_스포츠외교" xfId="3663" xr:uid="{00000000-0005-0000-0000-0000BF070000}"/>
    <cellStyle name="_승강기 및 CRT 감시반(0416)" xfId="3664" xr:uid="{00000000-0005-0000-0000-0000C0070000}"/>
    <cellStyle name="_승강기 및 CRT 감시반(설치)" xfId="3666" xr:uid="{00000000-0005-0000-0000-0000C1070000}"/>
    <cellStyle name="_시설 언더패스 견적-40202" xfId="973" xr:uid="{00000000-0005-0000-0000-0000C2070000}"/>
    <cellStyle name="_시설 언더패스 견적-40204" xfId="974" xr:uid="{00000000-0005-0000-0000-0000C3070000}"/>
    <cellStyle name="_시설 언더패스 견적-40225" xfId="3667" xr:uid="{00000000-0005-0000-0000-0000C4070000}"/>
    <cellStyle name="_시스템개선공사" xfId="3668" xr:uid="{00000000-0005-0000-0000-0000C5070000}"/>
    <cellStyle name="_시중노임단가표" xfId="3669" xr:uid="{00000000-0005-0000-0000-0000C6070000}"/>
    <cellStyle name="_시흥설계" xfId="3670" xr:uid="{00000000-0005-0000-0000-0000C7070000}"/>
    <cellStyle name="_신명견적서 수정(재주)" xfId="975" xr:uid="{00000000-0005-0000-0000-0000C8070000}"/>
    <cellStyle name="_신암공원-0923" xfId="976" xr:uid="{00000000-0005-0000-0000-0000C9070000}"/>
    <cellStyle name="_신태백(가실행)" xfId="977" xr:uid="{00000000-0005-0000-0000-0000CA070000}"/>
    <cellStyle name="_신태백(가실행)_1" xfId="978" xr:uid="{00000000-0005-0000-0000-0000CB070000}"/>
    <cellStyle name="_신태백(가실행)_1_경찰서-터미널간도로(투찰)②" xfId="979" xr:uid="{00000000-0005-0000-0000-0000CC070000}"/>
    <cellStyle name="_신태백(가실행)_1_경찰서-터미널간도로(투찰)②_마현생창(동양고속)" xfId="980" xr:uid="{00000000-0005-0000-0000-0000CD070000}"/>
    <cellStyle name="_신태백(가실행)_1_경찰서-터미널간도로(투찰)②_마현생창(동양고속)_예정공정표" xfId="981" xr:uid="{00000000-0005-0000-0000-0000CE070000}"/>
    <cellStyle name="_신태백(가실행)_1_경찰서-터미널간도로(투찰)②_마현생창(동양고속)_왜관-태평건설" xfId="982" xr:uid="{00000000-0005-0000-0000-0000CF070000}"/>
    <cellStyle name="_신태백(가실행)_1_경찰서-터미널간도로(투찰)②_마현생창(동양고속)_왜관-태평건설_예정공정표" xfId="983" xr:uid="{00000000-0005-0000-0000-0000D0070000}"/>
    <cellStyle name="_신태백(가실행)_1_경찰서-터미널간도로(투찰)②_예정공정표" xfId="984" xr:uid="{00000000-0005-0000-0000-0000D1070000}"/>
    <cellStyle name="_신태백(가실행)_1_경찰서-터미널간도로(투찰)②_왜관-태평건설" xfId="985" xr:uid="{00000000-0005-0000-0000-0000D2070000}"/>
    <cellStyle name="_신태백(가실행)_1_경찰서-터미널간도로(투찰)②_왜관-태평건설_예정공정표" xfId="986" xr:uid="{00000000-0005-0000-0000-0000D3070000}"/>
    <cellStyle name="_신태백(가실행)_1_마현생창(동양고속)" xfId="987" xr:uid="{00000000-0005-0000-0000-0000D4070000}"/>
    <cellStyle name="_신태백(가실행)_1_마현생창(동양고속)_예정공정표" xfId="988" xr:uid="{00000000-0005-0000-0000-0000D5070000}"/>
    <cellStyle name="_신태백(가실행)_1_마현생창(동양고속)_왜관-태평건설" xfId="989" xr:uid="{00000000-0005-0000-0000-0000D6070000}"/>
    <cellStyle name="_신태백(가실행)_1_마현생창(동양고속)_왜관-태평건설_예정공정표" xfId="990" xr:uid="{00000000-0005-0000-0000-0000D7070000}"/>
    <cellStyle name="_신태백(가실행)_1_봉무지방산업단지도로(투찰)②" xfId="991" xr:uid="{00000000-0005-0000-0000-0000D8070000}"/>
    <cellStyle name="_신태백(가실행)_1_봉무지방산업단지도로(투찰)②_마현생창(동양고속)" xfId="992" xr:uid="{00000000-0005-0000-0000-0000D9070000}"/>
    <cellStyle name="_신태백(가실행)_1_봉무지방산업단지도로(투찰)②_마현생창(동양고속)_예정공정표" xfId="993" xr:uid="{00000000-0005-0000-0000-0000DA070000}"/>
    <cellStyle name="_신태백(가실행)_1_봉무지방산업단지도로(투찰)②_마현생창(동양고속)_왜관-태평건설" xfId="994" xr:uid="{00000000-0005-0000-0000-0000DB070000}"/>
    <cellStyle name="_신태백(가실행)_1_봉무지방산업단지도로(투찰)②_마현생창(동양고속)_왜관-태평건설_예정공정표" xfId="995" xr:uid="{00000000-0005-0000-0000-0000DC070000}"/>
    <cellStyle name="_신태백(가실행)_1_봉무지방산업단지도로(투찰)②_예정공정표" xfId="996" xr:uid="{00000000-0005-0000-0000-0000DD070000}"/>
    <cellStyle name="_신태백(가실행)_1_봉무지방산업단지도로(투찰)②_왜관-태평건설" xfId="997" xr:uid="{00000000-0005-0000-0000-0000DE070000}"/>
    <cellStyle name="_신태백(가실행)_1_봉무지방산업단지도로(투찰)②_왜관-태평건설_예정공정표" xfId="998" xr:uid="{00000000-0005-0000-0000-0000DF070000}"/>
    <cellStyle name="_신태백(가실행)_1_봉무지방산업단지도로(투찰)②+0.250%" xfId="999" xr:uid="{00000000-0005-0000-0000-0000E0070000}"/>
    <cellStyle name="_신태백(가실행)_1_봉무지방산업단지도로(투찰)②+0.250%_마현생창(동양고속)" xfId="1000" xr:uid="{00000000-0005-0000-0000-0000E1070000}"/>
    <cellStyle name="_신태백(가실행)_1_봉무지방산업단지도로(투찰)②+0.250%_마현생창(동양고속)_예정공정표" xfId="1001" xr:uid="{00000000-0005-0000-0000-0000E2070000}"/>
    <cellStyle name="_신태백(가실행)_1_봉무지방산업단지도로(투찰)②+0.250%_마현생창(동양고속)_왜관-태평건설" xfId="1002" xr:uid="{00000000-0005-0000-0000-0000E3070000}"/>
    <cellStyle name="_신태백(가실행)_1_봉무지방산업단지도로(투찰)②+0.250%_마현생창(동양고속)_왜관-태평건설_예정공정표" xfId="1003" xr:uid="{00000000-0005-0000-0000-0000E4070000}"/>
    <cellStyle name="_신태백(가실행)_1_봉무지방산업단지도로(투찰)②+0.250%_예정공정표" xfId="1004" xr:uid="{00000000-0005-0000-0000-0000E5070000}"/>
    <cellStyle name="_신태백(가실행)_1_봉무지방산업단지도로(투찰)②+0.250%_왜관-태평건설" xfId="1005" xr:uid="{00000000-0005-0000-0000-0000E6070000}"/>
    <cellStyle name="_신태백(가실행)_1_봉무지방산업단지도로(투찰)②+0.250%_왜관-태평건설_예정공정표" xfId="1006" xr:uid="{00000000-0005-0000-0000-0000E7070000}"/>
    <cellStyle name="_신태백(가실행)_1_예정공정표" xfId="1007" xr:uid="{00000000-0005-0000-0000-0000E8070000}"/>
    <cellStyle name="_신태백(가실행)_1_왜관-태평건설" xfId="1008" xr:uid="{00000000-0005-0000-0000-0000E9070000}"/>
    <cellStyle name="_신태백(가실행)_1_왜관-태평건설_예정공정표" xfId="1009" xr:uid="{00000000-0005-0000-0000-0000EA070000}"/>
    <cellStyle name="_신태백(가실행)_1_합덕-신례원(2공구)투찰" xfId="1010" xr:uid="{00000000-0005-0000-0000-0000EB070000}"/>
    <cellStyle name="_신태백(가실행)_1_합덕-신례원(2공구)투찰_경찰서-터미널간도로(투찰)②" xfId="1011" xr:uid="{00000000-0005-0000-0000-0000EC070000}"/>
    <cellStyle name="_신태백(가실행)_1_합덕-신례원(2공구)투찰_경찰서-터미널간도로(투찰)②_마현생창(동양고속)" xfId="1012" xr:uid="{00000000-0005-0000-0000-0000ED070000}"/>
    <cellStyle name="_신태백(가실행)_1_합덕-신례원(2공구)투찰_경찰서-터미널간도로(투찰)②_마현생창(동양고속)_예정공정표" xfId="1013" xr:uid="{00000000-0005-0000-0000-0000EE070000}"/>
    <cellStyle name="_신태백(가실행)_1_합덕-신례원(2공구)투찰_경찰서-터미널간도로(투찰)②_마현생창(동양고속)_왜관-태평건설" xfId="1014" xr:uid="{00000000-0005-0000-0000-0000EF070000}"/>
    <cellStyle name="_신태백(가실행)_1_합덕-신례원(2공구)투찰_경찰서-터미널간도로(투찰)②_마현생창(동양고속)_왜관-태평건설_예정공정표" xfId="1015" xr:uid="{00000000-0005-0000-0000-0000F0070000}"/>
    <cellStyle name="_신태백(가실행)_1_합덕-신례원(2공구)투찰_경찰서-터미널간도로(투찰)②_예정공정표" xfId="1016" xr:uid="{00000000-0005-0000-0000-0000F1070000}"/>
    <cellStyle name="_신태백(가실행)_1_합덕-신례원(2공구)투찰_경찰서-터미널간도로(투찰)②_왜관-태평건설" xfId="1017" xr:uid="{00000000-0005-0000-0000-0000F2070000}"/>
    <cellStyle name="_신태백(가실행)_1_합덕-신례원(2공구)투찰_경찰서-터미널간도로(투찰)②_왜관-태평건설_예정공정표" xfId="1018" xr:uid="{00000000-0005-0000-0000-0000F3070000}"/>
    <cellStyle name="_신태백(가실행)_1_합덕-신례원(2공구)투찰_마현생창(동양고속)" xfId="1019" xr:uid="{00000000-0005-0000-0000-0000F4070000}"/>
    <cellStyle name="_신태백(가실행)_1_합덕-신례원(2공구)투찰_마현생창(동양고속)_예정공정표" xfId="1020" xr:uid="{00000000-0005-0000-0000-0000F5070000}"/>
    <cellStyle name="_신태백(가실행)_1_합덕-신례원(2공구)투찰_마현생창(동양고속)_왜관-태평건설" xfId="1021" xr:uid="{00000000-0005-0000-0000-0000F6070000}"/>
    <cellStyle name="_신태백(가실행)_1_합덕-신례원(2공구)투찰_마현생창(동양고속)_왜관-태평건설_예정공정표" xfId="1022" xr:uid="{00000000-0005-0000-0000-0000F7070000}"/>
    <cellStyle name="_신태백(가실행)_1_합덕-신례원(2공구)투찰_봉무지방산업단지도로(투찰)②" xfId="1023" xr:uid="{00000000-0005-0000-0000-0000F8070000}"/>
    <cellStyle name="_신태백(가실행)_1_합덕-신례원(2공구)투찰_봉무지방산업단지도로(투찰)②_마현생창(동양고속)" xfId="1024" xr:uid="{00000000-0005-0000-0000-0000F9070000}"/>
    <cellStyle name="_신태백(가실행)_1_합덕-신례원(2공구)투찰_봉무지방산업단지도로(투찰)②_마현생창(동양고속)_예정공정표" xfId="1025" xr:uid="{00000000-0005-0000-0000-0000FA070000}"/>
    <cellStyle name="_신태백(가실행)_1_합덕-신례원(2공구)투찰_봉무지방산업단지도로(투찰)②_마현생창(동양고속)_왜관-태평건설" xfId="1026" xr:uid="{00000000-0005-0000-0000-0000FB070000}"/>
    <cellStyle name="_신태백(가실행)_1_합덕-신례원(2공구)투찰_봉무지방산업단지도로(투찰)②_마현생창(동양고속)_왜관-태평건설_예정공정표" xfId="1027" xr:uid="{00000000-0005-0000-0000-0000FC070000}"/>
    <cellStyle name="_신태백(가실행)_1_합덕-신례원(2공구)투찰_봉무지방산업단지도로(투찰)②_예정공정표" xfId="1028" xr:uid="{00000000-0005-0000-0000-0000FD070000}"/>
    <cellStyle name="_신태백(가실행)_1_합덕-신례원(2공구)투찰_봉무지방산업단지도로(투찰)②_왜관-태평건설" xfId="1029" xr:uid="{00000000-0005-0000-0000-0000FE070000}"/>
    <cellStyle name="_신태백(가실행)_1_합덕-신례원(2공구)투찰_봉무지방산업단지도로(투찰)②_왜관-태평건설_예정공정표" xfId="1030" xr:uid="{00000000-0005-0000-0000-0000FF070000}"/>
    <cellStyle name="_신태백(가실행)_1_합덕-신례원(2공구)투찰_봉무지방산업단지도로(투찰)②+0.250%" xfId="1031" xr:uid="{00000000-0005-0000-0000-000000080000}"/>
    <cellStyle name="_신태백(가실행)_1_합덕-신례원(2공구)투찰_봉무지방산업단지도로(투찰)②+0.250%_마현생창(동양고속)" xfId="1032" xr:uid="{00000000-0005-0000-0000-000001080000}"/>
    <cellStyle name="_신태백(가실행)_1_합덕-신례원(2공구)투찰_봉무지방산업단지도로(투찰)②+0.250%_마현생창(동양고속)_예정공정표" xfId="1033" xr:uid="{00000000-0005-0000-0000-000002080000}"/>
    <cellStyle name="_신태백(가실행)_1_합덕-신례원(2공구)투찰_봉무지방산업단지도로(투찰)②+0.250%_마현생창(동양고속)_왜관-태평건설" xfId="1034" xr:uid="{00000000-0005-0000-0000-000003080000}"/>
    <cellStyle name="_신태백(가실행)_1_합덕-신례원(2공구)투찰_봉무지방산업단지도로(투찰)②+0.250%_마현생창(동양고속)_왜관-태평건설_예정공정표" xfId="1035" xr:uid="{00000000-0005-0000-0000-000004080000}"/>
    <cellStyle name="_신태백(가실행)_1_합덕-신례원(2공구)투찰_봉무지방산업단지도로(투찰)②+0.250%_예정공정표" xfId="1036" xr:uid="{00000000-0005-0000-0000-000005080000}"/>
    <cellStyle name="_신태백(가실행)_1_합덕-신례원(2공구)투찰_봉무지방산업단지도로(투찰)②+0.250%_왜관-태평건설" xfId="1037" xr:uid="{00000000-0005-0000-0000-000006080000}"/>
    <cellStyle name="_신태백(가실행)_1_합덕-신례원(2공구)투찰_봉무지방산업단지도로(투찰)②+0.250%_왜관-태평건설_예정공정표" xfId="1038" xr:uid="{00000000-0005-0000-0000-000007080000}"/>
    <cellStyle name="_신태백(가실행)_1_합덕-신례원(2공구)투찰_예정공정표" xfId="1039" xr:uid="{00000000-0005-0000-0000-000008080000}"/>
    <cellStyle name="_신태백(가실행)_1_합덕-신례원(2공구)투찰_왜관-태평건설" xfId="1040" xr:uid="{00000000-0005-0000-0000-000009080000}"/>
    <cellStyle name="_신태백(가실행)_1_합덕-신례원(2공구)투찰_왜관-태평건설_예정공정표" xfId="1041" xr:uid="{00000000-0005-0000-0000-00000A080000}"/>
    <cellStyle name="_신태백(가실행)_1_합덕-신례원(2공구)투찰_합덕-신례원(2공구)투찰" xfId="1042" xr:uid="{00000000-0005-0000-0000-00000B080000}"/>
    <cellStyle name="_신태백(가실행)_1_합덕-신례원(2공구)투찰_합덕-신례원(2공구)투찰_경찰서-터미널간도로(투찰)②" xfId="1043" xr:uid="{00000000-0005-0000-0000-00000C080000}"/>
    <cellStyle name="_신태백(가실행)_1_합덕-신례원(2공구)투찰_합덕-신례원(2공구)투찰_경찰서-터미널간도로(투찰)②_마현생창(동양고속)" xfId="1044" xr:uid="{00000000-0005-0000-0000-00000D080000}"/>
    <cellStyle name="_신태백(가실행)_1_합덕-신례원(2공구)투찰_합덕-신례원(2공구)투찰_경찰서-터미널간도로(투찰)②_마현생창(동양고속)_예정공정표" xfId="1045" xr:uid="{00000000-0005-0000-0000-00000E080000}"/>
    <cellStyle name="_신태백(가실행)_1_합덕-신례원(2공구)투찰_합덕-신례원(2공구)투찰_경찰서-터미널간도로(투찰)②_마현생창(동양고속)_왜관-태평건설" xfId="1046" xr:uid="{00000000-0005-0000-0000-00000F080000}"/>
    <cellStyle name="_신태백(가실행)_1_합덕-신례원(2공구)투찰_합덕-신례원(2공구)투찰_경찰서-터미널간도로(투찰)②_마현생창(동양고속)_왜관-태평건설_예정공정표" xfId="1047" xr:uid="{00000000-0005-0000-0000-000010080000}"/>
    <cellStyle name="_신태백(가실행)_1_합덕-신례원(2공구)투찰_합덕-신례원(2공구)투찰_경찰서-터미널간도로(투찰)②_예정공정표" xfId="1048" xr:uid="{00000000-0005-0000-0000-000011080000}"/>
    <cellStyle name="_신태백(가실행)_1_합덕-신례원(2공구)투찰_합덕-신례원(2공구)투찰_경찰서-터미널간도로(투찰)②_왜관-태평건설" xfId="1049" xr:uid="{00000000-0005-0000-0000-000012080000}"/>
    <cellStyle name="_신태백(가실행)_1_합덕-신례원(2공구)투찰_합덕-신례원(2공구)투찰_경찰서-터미널간도로(투찰)②_왜관-태평건설_예정공정표" xfId="1050" xr:uid="{00000000-0005-0000-0000-000013080000}"/>
    <cellStyle name="_신태백(가실행)_1_합덕-신례원(2공구)투찰_합덕-신례원(2공구)투찰_마현생창(동양고속)" xfId="1051" xr:uid="{00000000-0005-0000-0000-000014080000}"/>
    <cellStyle name="_신태백(가실행)_1_합덕-신례원(2공구)투찰_합덕-신례원(2공구)투찰_마현생창(동양고속)_예정공정표" xfId="1052" xr:uid="{00000000-0005-0000-0000-000015080000}"/>
    <cellStyle name="_신태백(가실행)_1_합덕-신례원(2공구)투찰_합덕-신례원(2공구)투찰_마현생창(동양고속)_왜관-태평건설" xfId="1053" xr:uid="{00000000-0005-0000-0000-000016080000}"/>
    <cellStyle name="_신태백(가실행)_1_합덕-신례원(2공구)투찰_합덕-신례원(2공구)투찰_마현생창(동양고속)_왜관-태평건설_예정공정표" xfId="1054" xr:uid="{00000000-0005-0000-0000-000017080000}"/>
    <cellStyle name="_신태백(가실행)_1_합덕-신례원(2공구)투찰_합덕-신례원(2공구)투찰_봉무지방산업단지도로(투찰)②" xfId="1055" xr:uid="{00000000-0005-0000-0000-000018080000}"/>
    <cellStyle name="_신태백(가실행)_1_합덕-신례원(2공구)투찰_합덕-신례원(2공구)투찰_봉무지방산업단지도로(투찰)②_마현생창(동양고속)" xfId="1056" xr:uid="{00000000-0005-0000-0000-000019080000}"/>
    <cellStyle name="_신태백(가실행)_1_합덕-신례원(2공구)투찰_합덕-신례원(2공구)투찰_봉무지방산업단지도로(투찰)②_마현생창(동양고속)_예정공정표" xfId="1057" xr:uid="{00000000-0005-0000-0000-00001A080000}"/>
    <cellStyle name="_신태백(가실행)_1_합덕-신례원(2공구)투찰_합덕-신례원(2공구)투찰_봉무지방산업단지도로(투찰)②_마현생창(동양고속)_왜관-태평건설" xfId="1058" xr:uid="{00000000-0005-0000-0000-00001B080000}"/>
    <cellStyle name="_신태백(가실행)_1_합덕-신례원(2공구)투찰_합덕-신례원(2공구)투찰_봉무지방산업단지도로(투찰)②_마현생창(동양고속)_왜관-태평건설_예정공정표" xfId="1059" xr:uid="{00000000-0005-0000-0000-00001C080000}"/>
    <cellStyle name="_신태백(가실행)_1_합덕-신례원(2공구)투찰_합덕-신례원(2공구)투찰_봉무지방산업단지도로(투찰)②_예정공정표" xfId="1060" xr:uid="{00000000-0005-0000-0000-00001D080000}"/>
    <cellStyle name="_신태백(가실행)_1_합덕-신례원(2공구)투찰_합덕-신례원(2공구)투찰_봉무지방산업단지도로(투찰)②_왜관-태평건설" xfId="1061" xr:uid="{00000000-0005-0000-0000-00001E080000}"/>
    <cellStyle name="_신태백(가실행)_1_합덕-신례원(2공구)투찰_합덕-신례원(2공구)투찰_봉무지방산업단지도로(투찰)②_왜관-태평건설_예정공정표" xfId="1062" xr:uid="{00000000-0005-0000-0000-00001F080000}"/>
    <cellStyle name="_신태백(가실행)_1_합덕-신례원(2공구)투찰_합덕-신례원(2공구)투찰_봉무지방산업단지도로(투찰)②+0.250%" xfId="1063" xr:uid="{00000000-0005-0000-0000-000020080000}"/>
    <cellStyle name="_신태백(가실행)_1_합덕-신례원(2공구)투찰_합덕-신례원(2공구)투찰_봉무지방산업단지도로(투찰)②+0.250%_마현생창(동양고속)" xfId="1064" xr:uid="{00000000-0005-0000-0000-000021080000}"/>
    <cellStyle name="_신태백(가실행)_1_합덕-신례원(2공구)투찰_합덕-신례원(2공구)투찰_봉무지방산업단지도로(투찰)②+0.250%_마현생창(동양고속)_예정공정표" xfId="1065" xr:uid="{00000000-0005-0000-0000-000022080000}"/>
    <cellStyle name="_신태백(가실행)_1_합덕-신례원(2공구)투찰_합덕-신례원(2공구)투찰_봉무지방산업단지도로(투찰)②+0.250%_마현생창(동양고속)_왜관-태평건설" xfId="1066" xr:uid="{00000000-0005-0000-0000-000023080000}"/>
    <cellStyle name="_신태백(가실행)_1_합덕-신례원(2공구)투찰_합덕-신례원(2공구)투찰_봉무지방산업단지도로(투찰)②+0.250%_마현생창(동양고속)_왜관-태평건설_예정공정표" xfId="1067" xr:uid="{00000000-0005-0000-0000-000024080000}"/>
    <cellStyle name="_신태백(가실행)_1_합덕-신례원(2공구)투찰_합덕-신례원(2공구)투찰_봉무지방산업단지도로(투찰)②+0.250%_예정공정표" xfId="1068" xr:uid="{00000000-0005-0000-0000-000025080000}"/>
    <cellStyle name="_신태백(가실행)_1_합덕-신례원(2공구)투찰_합덕-신례원(2공구)투찰_봉무지방산업단지도로(투찰)②+0.250%_왜관-태평건설" xfId="1069" xr:uid="{00000000-0005-0000-0000-000026080000}"/>
    <cellStyle name="_신태백(가실행)_1_합덕-신례원(2공구)투찰_합덕-신례원(2공구)투찰_봉무지방산업단지도로(투찰)②+0.250%_왜관-태평건설_예정공정표" xfId="1070" xr:uid="{00000000-0005-0000-0000-000027080000}"/>
    <cellStyle name="_신태백(가실행)_1_합덕-신례원(2공구)투찰_합덕-신례원(2공구)투찰_예정공정표" xfId="1071" xr:uid="{00000000-0005-0000-0000-000028080000}"/>
    <cellStyle name="_신태백(가실행)_1_합덕-신례원(2공구)투찰_합덕-신례원(2공구)투찰_왜관-태평건설" xfId="1072" xr:uid="{00000000-0005-0000-0000-000029080000}"/>
    <cellStyle name="_신태백(가실행)_1_합덕-신례원(2공구)투찰_합덕-신례원(2공구)투찰_왜관-태평건설_예정공정표" xfId="1073" xr:uid="{00000000-0005-0000-0000-00002A080000}"/>
    <cellStyle name="_신태백(가실행)_경찰서-터미널간도로(투찰)②" xfId="1074" xr:uid="{00000000-0005-0000-0000-00002B080000}"/>
    <cellStyle name="_신태백(가실행)_경찰서-터미널간도로(투찰)②_마현생창(동양고속)" xfId="1075" xr:uid="{00000000-0005-0000-0000-00002C080000}"/>
    <cellStyle name="_신태백(가실행)_경찰서-터미널간도로(투찰)②_마현생창(동양고속)_예정공정표" xfId="1076" xr:uid="{00000000-0005-0000-0000-00002D080000}"/>
    <cellStyle name="_신태백(가실행)_경찰서-터미널간도로(투찰)②_마현생창(동양고속)_왜관-태평건설" xfId="1077" xr:uid="{00000000-0005-0000-0000-00002E080000}"/>
    <cellStyle name="_신태백(가실행)_경찰서-터미널간도로(투찰)②_마현생창(동양고속)_왜관-태평건설_예정공정표" xfId="1078" xr:uid="{00000000-0005-0000-0000-00002F080000}"/>
    <cellStyle name="_신태백(가실행)_경찰서-터미널간도로(투찰)②_예정공정표" xfId="1079" xr:uid="{00000000-0005-0000-0000-000030080000}"/>
    <cellStyle name="_신태백(가실행)_경찰서-터미널간도로(투찰)②_왜관-태평건설" xfId="1080" xr:uid="{00000000-0005-0000-0000-000031080000}"/>
    <cellStyle name="_신태백(가실행)_경찰서-터미널간도로(투찰)②_왜관-태평건설_예정공정표" xfId="1081" xr:uid="{00000000-0005-0000-0000-000032080000}"/>
    <cellStyle name="_신태백(가실행)_도덕-고흥도로(투찰)" xfId="1082" xr:uid="{00000000-0005-0000-0000-000033080000}"/>
    <cellStyle name="_신태백(가실행)_도덕-고흥도로(투찰)_경찰서-터미널간도로(투찰)②" xfId="1083" xr:uid="{00000000-0005-0000-0000-000034080000}"/>
    <cellStyle name="_신태백(가실행)_도덕-고흥도로(투찰)_경찰서-터미널간도로(투찰)②_마현생창(동양고속)" xfId="1084" xr:uid="{00000000-0005-0000-0000-000035080000}"/>
    <cellStyle name="_신태백(가실행)_도덕-고흥도로(투찰)_경찰서-터미널간도로(투찰)②_마현생창(동양고속)_예정공정표" xfId="1085" xr:uid="{00000000-0005-0000-0000-000036080000}"/>
    <cellStyle name="_신태백(가실행)_도덕-고흥도로(투찰)_경찰서-터미널간도로(투찰)②_마현생창(동양고속)_왜관-태평건설" xfId="1086" xr:uid="{00000000-0005-0000-0000-000037080000}"/>
    <cellStyle name="_신태백(가실행)_도덕-고흥도로(투찰)_경찰서-터미널간도로(투찰)②_마현생창(동양고속)_왜관-태평건설_예정공정표" xfId="1087" xr:uid="{00000000-0005-0000-0000-000038080000}"/>
    <cellStyle name="_신태백(가실행)_도덕-고흥도로(투찰)_경찰서-터미널간도로(투찰)②_예정공정표" xfId="1088" xr:uid="{00000000-0005-0000-0000-000039080000}"/>
    <cellStyle name="_신태백(가실행)_도덕-고흥도로(투찰)_경찰서-터미널간도로(투찰)②_왜관-태평건설" xfId="1089" xr:uid="{00000000-0005-0000-0000-00003A080000}"/>
    <cellStyle name="_신태백(가실행)_도덕-고흥도로(투찰)_경찰서-터미널간도로(투찰)②_왜관-태평건설_예정공정표" xfId="1090" xr:uid="{00000000-0005-0000-0000-00003B080000}"/>
    <cellStyle name="_신태백(가실행)_도덕-고흥도로(투찰)_마현생창(동양고속)" xfId="1091" xr:uid="{00000000-0005-0000-0000-00003C080000}"/>
    <cellStyle name="_신태백(가실행)_도덕-고흥도로(투찰)_마현생창(동양고속)_예정공정표" xfId="1092" xr:uid="{00000000-0005-0000-0000-00003D080000}"/>
    <cellStyle name="_신태백(가실행)_도덕-고흥도로(투찰)_마현생창(동양고속)_왜관-태평건설" xfId="1093" xr:uid="{00000000-0005-0000-0000-00003E080000}"/>
    <cellStyle name="_신태백(가실행)_도덕-고흥도로(투찰)_마현생창(동양고속)_왜관-태평건설_예정공정표" xfId="1094" xr:uid="{00000000-0005-0000-0000-00003F080000}"/>
    <cellStyle name="_신태백(가실행)_도덕-고흥도로(투찰)_봉무지방산업단지도로(투찰)②" xfId="1095" xr:uid="{00000000-0005-0000-0000-000040080000}"/>
    <cellStyle name="_신태백(가실행)_도덕-고흥도로(투찰)_봉무지방산업단지도로(투찰)②_마현생창(동양고속)" xfId="1096" xr:uid="{00000000-0005-0000-0000-000041080000}"/>
    <cellStyle name="_신태백(가실행)_도덕-고흥도로(투찰)_봉무지방산업단지도로(투찰)②_마현생창(동양고속)_예정공정표" xfId="1097" xr:uid="{00000000-0005-0000-0000-000042080000}"/>
    <cellStyle name="_신태백(가실행)_도덕-고흥도로(투찰)_봉무지방산업단지도로(투찰)②_마현생창(동양고속)_왜관-태평건설" xfId="1098" xr:uid="{00000000-0005-0000-0000-000043080000}"/>
    <cellStyle name="_신태백(가실행)_도덕-고흥도로(투찰)_봉무지방산업단지도로(투찰)②_마현생창(동양고속)_왜관-태평건설_예정공정표" xfId="1099" xr:uid="{00000000-0005-0000-0000-000044080000}"/>
    <cellStyle name="_신태백(가실행)_도덕-고흥도로(투찰)_봉무지방산업단지도로(투찰)②_예정공정표" xfId="1100" xr:uid="{00000000-0005-0000-0000-000045080000}"/>
    <cellStyle name="_신태백(가실행)_도덕-고흥도로(투찰)_봉무지방산업단지도로(투찰)②_왜관-태평건설" xfId="1101" xr:uid="{00000000-0005-0000-0000-000046080000}"/>
    <cellStyle name="_신태백(가실행)_도덕-고흥도로(투찰)_봉무지방산업단지도로(투찰)②_왜관-태평건설_예정공정표" xfId="1102" xr:uid="{00000000-0005-0000-0000-000047080000}"/>
    <cellStyle name="_신태백(가실행)_도덕-고흥도로(투찰)_봉무지방산업단지도로(투찰)②+0.250%" xfId="1103" xr:uid="{00000000-0005-0000-0000-000048080000}"/>
    <cellStyle name="_신태백(가실행)_도덕-고흥도로(투찰)_봉무지방산업단지도로(투찰)②+0.250%_마현생창(동양고속)" xfId="1104" xr:uid="{00000000-0005-0000-0000-000049080000}"/>
    <cellStyle name="_신태백(가실행)_도덕-고흥도로(투찰)_봉무지방산업단지도로(투찰)②+0.250%_마현생창(동양고속)_예정공정표" xfId="1105" xr:uid="{00000000-0005-0000-0000-00004A080000}"/>
    <cellStyle name="_신태백(가실행)_도덕-고흥도로(투찰)_봉무지방산업단지도로(투찰)②+0.250%_마현생창(동양고속)_왜관-태평건설" xfId="1106" xr:uid="{00000000-0005-0000-0000-00004B080000}"/>
    <cellStyle name="_신태백(가실행)_도덕-고흥도로(투찰)_봉무지방산업단지도로(투찰)②+0.250%_마현생창(동양고속)_왜관-태평건설_예정공정표" xfId="1107" xr:uid="{00000000-0005-0000-0000-00004C080000}"/>
    <cellStyle name="_신태백(가실행)_도덕-고흥도로(투찰)_봉무지방산업단지도로(투찰)②+0.250%_예정공정표" xfId="1108" xr:uid="{00000000-0005-0000-0000-00004D080000}"/>
    <cellStyle name="_신태백(가실행)_도덕-고흥도로(투찰)_봉무지방산업단지도로(투찰)②+0.250%_왜관-태평건설" xfId="1109" xr:uid="{00000000-0005-0000-0000-00004E080000}"/>
    <cellStyle name="_신태백(가실행)_도덕-고흥도로(투찰)_봉무지방산업단지도로(투찰)②+0.250%_왜관-태평건설_예정공정표" xfId="1110" xr:uid="{00000000-0005-0000-0000-00004F080000}"/>
    <cellStyle name="_신태백(가실행)_도덕-고흥도로(투찰)_예정공정표" xfId="1111" xr:uid="{00000000-0005-0000-0000-000050080000}"/>
    <cellStyle name="_신태백(가실행)_도덕-고흥도로(투찰)_왜관-태평건설" xfId="1112" xr:uid="{00000000-0005-0000-0000-000051080000}"/>
    <cellStyle name="_신태백(가실행)_도덕-고흥도로(투찰)_왜관-태평건설_예정공정표" xfId="1113" xr:uid="{00000000-0005-0000-0000-000052080000}"/>
    <cellStyle name="_신태백(가실행)_도덕-고흥도로(투찰)_합덕-신례원(2공구)투찰" xfId="1114" xr:uid="{00000000-0005-0000-0000-000053080000}"/>
    <cellStyle name="_신태백(가실행)_도덕-고흥도로(투찰)_합덕-신례원(2공구)투찰_경찰서-터미널간도로(투찰)②" xfId="1115" xr:uid="{00000000-0005-0000-0000-000054080000}"/>
    <cellStyle name="_신태백(가실행)_도덕-고흥도로(투찰)_합덕-신례원(2공구)투찰_경찰서-터미널간도로(투찰)②_마현생창(동양고속)" xfId="1116" xr:uid="{00000000-0005-0000-0000-000055080000}"/>
    <cellStyle name="_신태백(가실행)_도덕-고흥도로(투찰)_합덕-신례원(2공구)투찰_경찰서-터미널간도로(투찰)②_마현생창(동양고속)_예정공정표" xfId="1117" xr:uid="{00000000-0005-0000-0000-000056080000}"/>
    <cellStyle name="_신태백(가실행)_도덕-고흥도로(투찰)_합덕-신례원(2공구)투찰_경찰서-터미널간도로(투찰)②_마현생창(동양고속)_왜관-태평건설" xfId="1118" xr:uid="{00000000-0005-0000-0000-000057080000}"/>
    <cellStyle name="_신태백(가실행)_도덕-고흥도로(투찰)_합덕-신례원(2공구)투찰_경찰서-터미널간도로(투찰)②_마현생창(동양고속)_왜관-태평건설_예정공정표" xfId="1119" xr:uid="{00000000-0005-0000-0000-000058080000}"/>
    <cellStyle name="_신태백(가실행)_도덕-고흥도로(투찰)_합덕-신례원(2공구)투찰_경찰서-터미널간도로(투찰)②_예정공정표" xfId="1120" xr:uid="{00000000-0005-0000-0000-000059080000}"/>
    <cellStyle name="_신태백(가실행)_도덕-고흥도로(투찰)_합덕-신례원(2공구)투찰_경찰서-터미널간도로(투찰)②_왜관-태평건설" xfId="1121" xr:uid="{00000000-0005-0000-0000-00005A080000}"/>
    <cellStyle name="_신태백(가실행)_도덕-고흥도로(투찰)_합덕-신례원(2공구)투찰_경찰서-터미널간도로(투찰)②_왜관-태평건설_예정공정표" xfId="1122" xr:uid="{00000000-0005-0000-0000-00005B080000}"/>
    <cellStyle name="_신태백(가실행)_도덕-고흥도로(투찰)_합덕-신례원(2공구)투찰_마현생창(동양고속)" xfId="1123" xr:uid="{00000000-0005-0000-0000-00005C080000}"/>
    <cellStyle name="_신태백(가실행)_도덕-고흥도로(투찰)_합덕-신례원(2공구)투찰_마현생창(동양고속)_예정공정표" xfId="1124" xr:uid="{00000000-0005-0000-0000-00005D080000}"/>
    <cellStyle name="_신태백(가실행)_도덕-고흥도로(투찰)_합덕-신례원(2공구)투찰_마현생창(동양고속)_왜관-태평건설" xfId="1125" xr:uid="{00000000-0005-0000-0000-00005E080000}"/>
    <cellStyle name="_신태백(가실행)_도덕-고흥도로(투찰)_합덕-신례원(2공구)투찰_마현생창(동양고속)_왜관-태평건설_예정공정표" xfId="1126" xr:uid="{00000000-0005-0000-0000-00005F080000}"/>
    <cellStyle name="_신태백(가실행)_도덕-고흥도로(투찰)_합덕-신례원(2공구)투찰_봉무지방산업단지도로(투찰)②" xfId="1127" xr:uid="{00000000-0005-0000-0000-000060080000}"/>
    <cellStyle name="_신태백(가실행)_도덕-고흥도로(투찰)_합덕-신례원(2공구)투찰_봉무지방산업단지도로(투찰)②_마현생창(동양고속)" xfId="1128" xr:uid="{00000000-0005-0000-0000-000061080000}"/>
    <cellStyle name="_신태백(가실행)_도덕-고흥도로(투찰)_합덕-신례원(2공구)투찰_봉무지방산업단지도로(투찰)②_마현생창(동양고속)_예정공정표" xfId="1129" xr:uid="{00000000-0005-0000-0000-000062080000}"/>
    <cellStyle name="_신태백(가실행)_도덕-고흥도로(투찰)_합덕-신례원(2공구)투찰_봉무지방산업단지도로(투찰)②_마현생창(동양고속)_왜관-태평건설" xfId="1130" xr:uid="{00000000-0005-0000-0000-000063080000}"/>
    <cellStyle name="_신태백(가실행)_도덕-고흥도로(투찰)_합덕-신례원(2공구)투찰_봉무지방산업단지도로(투찰)②_마현생창(동양고속)_왜관-태평건설_예정공정표" xfId="1131" xr:uid="{00000000-0005-0000-0000-000064080000}"/>
    <cellStyle name="_신태백(가실행)_도덕-고흥도로(투찰)_합덕-신례원(2공구)투찰_봉무지방산업단지도로(투찰)②_예정공정표" xfId="1132" xr:uid="{00000000-0005-0000-0000-000065080000}"/>
    <cellStyle name="_신태백(가실행)_도덕-고흥도로(투찰)_합덕-신례원(2공구)투찰_봉무지방산업단지도로(투찰)②_왜관-태평건설" xfId="1133" xr:uid="{00000000-0005-0000-0000-000066080000}"/>
    <cellStyle name="_신태백(가실행)_도덕-고흥도로(투찰)_합덕-신례원(2공구)투찰_봉무지방산업단지도로(투찰)②_왜관-태평건설_예정공정표" xfId="1134" xr:uid="{00000000-0005-0000-0000-000067080000}"/>
    <cellStyle name="_신태백(가실행)_도덕-고흥도로(투찰)_합덕-신례원(2공구)투찰_봉무지방산업단지도로(투찰)②+0.250%" xfId="1135" xr:uid="{00000000-0005-0000-0000-000068080000}"/>
    <cellStyle name="_신태백(가실행)_도덕-고흥도로(투찰)_합덕-신례원(2공구)투찰_봉무지방산업단지도로(투찰)②+0.250%_마현생창(동양고속)" xfId="1136" xr:uid="{00000000-0005-0000-0000-000069080000}"/>
    <cellStyle name="_신태백(가실행)_도덕-고흥도로(투찰)_합덕-신례원(2공구)투찰_봉무지방산업단지도로(투찰)②+0.250%_마현생창(동양고속)_예정공정표" xfId="1137" xr:uid="{00000000-0005-0000-0000-00006A080000}"/>
    <cellStyle name="_신태백(가실행)_도덕-고흥도로(투찰)_합덕-신례원(2공구)투찰_봉무지방산업단지도로(투찰)②+0.250%_마현생창(동양고속)_왜관-태평건설" xfId="1138" xr:uid="{00000000-0005-0000-0000-00006B080000}"/>
    <cellStyle name="_신태백(가실행)_도덕-고흥도로(투찰)_합덕-신례원(2공구)투찰_봉무지방산업단지도로(투찰)②+0.250%_마현생창(동양고속)_왜관-태평건설_예정공정표" xfId="1139" xr:uid="{00000000-0005-0000-0000-00006C080000}"/>
    <cellStyle name="_신태백(가실행)_도덕-고흥도로(투찰)_합덕-신례원(2공구)투찰_봉무지방산업단지도로(투찰)②+0.250%_예정공정표" xfId="1140" xr:uid="{00000000-0005-0000-0000-00006D080000}"/>
    <cellStyle name="_신태백(가실행)_도덕-고흥도로(투찰)_합덕-신례원(2공구)투찰_봉무지방산업단지도로(투찰)②+0.250%_왜관-태평건설" xfId="1141" xr:uid="{00000000-0005-0000-0000-00006E080000}"/>
    <cellStyle name="_신태백(가실행)_도덕-고흥도로(투찰)_합덕-신례원(2공구)투찰_봉무지방산업단지도로(투찰)②+0.250%_왜관-태평건설_예정공정표" xfId="1142" xr:uid="{00000000-0005-0000-0000-00006F080000}"/>
    <cellStyle name="_신태백(가실행)_도덕-고흥도로(투찰)_합덕-신례원(2공구)투찰_예정공정표" xfId="1143" xr:uid="{00000000-0005-0000-0000-000070080000}"/>
    <cellStyle name="_신태백(가실행)_도덕-고흥도로(투찰)_합덕-신례원(2공구)투찰_왜관-태평건설" xfId="1144" xr:uid="{00000000-0005-0000-0000-000071080000}"/>
    <cellStyle name="_신태백(가실행)_도덕-고흥도로(투찰)_합덕-신례원(2공구)투찰_왜관-태평건설_예정공정표" xfId="1145" xr:uid="{00000000-0005-0000-0000-000072080000}"/>
    <cellStyle name="_신태백(가실행)_도덕-고흥도로(투찰)_합덕-신례원(2공구)투찰_합덕-신례원(2공구)투찰" xfId="1146" xr:uid="{00000000-0005-0000-0000-000073080000}"/>
    <cellStyle name="_신태백(가실행)_도덕-고흥도로(투찰)_합덕-신례원(2공구)투찰_합덕-신례원(2공구)투찰_경찰서-터미널간도로(투찰)②" xfId="1147" xr:uid="{00000000-0005-0000-0000-000074080000}"/>
    <cellStyle name="_신태백(가실행)_도덕-고흥도로(투찰)_합덕-신례원(2공구)투찰_합덕-신례원(2공구)투찰_경찰서-터미널간도로(투찰)②_마현생창(동양고속)" xfId="1148" xr:uid="{00000000-0005-0000-0000-000075080000}"/>
    <cellStyle name="_신태백(가실행)_도덕-고흥도로(투찰)_합덕-신례원(2공구)투찰_합덕-신례원(2공구)투찰_경찰서-터미널간도로(투찰)②_마현생창(동양고속)_예정공정표" xfId="1149" xr:uid="{00000000-0005-0000-0000-000076080000}"/>
    <cellStyle name="_신태백(가실행)_도덕-고흥도로(투찰)_합덕-신례원(2공구)투찰_합덕-신례원(2공구)투찰_경찰서-터미널간도로(투찰)②_마현생창(동양고속)_왜관-태평건설" xfId="1150" xr:uid="{00000000-0005-0000-0000-000077080000}"/>
    <cellStyle name="_신태백(가실행)_도덕-고흥도로(투찰)_합덕-신례원(2공구)투찰_합덕-신례원(2공구)투찰_경찰서-터미널간도로(투찰)②_마현생창(동양고속)_왜관-태평건설_예정공정표" xfId="1151" xr:uid="{00000000-0005-0000-0000-000078080000}"/>
    <cellStyle name="_신태백(가실행)_도덕-고흥도로(투찰)_합덕-신례원(2공구)투찰_합덕-신례원(2공구)투찰_경찰서-터미널간도로(투찰)②_예정공정표" xfId="1152" xr:uid="{00000000-0005-0000-0000-000079080000}"/>
    <cellStyle name="_신태백(가실행)_도덕-고흥도로(투찰)_합덕-신례원(2공구)투찰_합덕-신례원(2공구)투찰_경찰서-터미널간도로(투찰)②_왜관-태평건설" xfId="1153" xr:uid="{00000000-0005-0000-0000-00007A080000}"/>
    <cellStyle name="_신태백(가실행)_도덕-고흥도로(투찰)_합덕-신례원(2공구)투찰_합덕-신례원(2공구)투찰_경찰서-터미널간도로(투찰)②_왜관-태평건설_예정공정표" xfId="1154" xr:uid="{00000000-0005-0000-0000-00007B080000}"/>
    <cellStyle name="_신태백(가실행)_도덕-고흥도로(투찰)_합덕-신례원(2공구)투찰_합덕-신례원(2공구)투찰_마현생창(동양고속)" xfId="1155" xr:uid="{00000000-0005-0000-0000-00007C080000}"/>
    <cellStyle name="_신태백(가실행)_도덕-고흥도로(투찰)_합덕-신례원(2공구)투찰_합덕-신례원(2공구)투찰_마현생창(동양고속)_예정공정표" xfId="1156" xr:uid="{00000000-0005-0000-0000-00007D080000}"/>
    <cellStyle name="_신태백(가실행)_도덕-고흥도로(투찰)_합덕-신례원(2공구)투찰_합덕-신례원(2공구)투찰_마현생창(동양고속)_왜관-태평건설" xfId="1157" xr:uid="{00000000-0005-0000-0000-00007E080000}"/>
    <cellStyle name="_신태백(가실행)_도덕-고흥도로(투찰)_합덕-신례원(2공구)투찰_합덕-신례원(2공구)투찰_마현생창(동양고속)_왜관-태평건설_예정공정표" xfId="1158" xr:uid="{00000000-0005-0000-0000-00007F080000}"/>
    <cellStyle name="_신태백(가실행)_도덕-고흥도로(투찰)_합덕-신례원(2공구)투찰_합덕-신례원(2공구)투찰_봉무지방산업단지도로(투찰)②" xfId="1159" xr:uid="{00000000-0005-0000-0000-000080080000}"/>
    <cellStyle name="_신태백(가실행)_도덕-고흥도로(투찰)_합덕-신례원(2공구)투찰_합덕-신례원(2공구)투찰_봉무지방산업단지도로(투찰)②_마현생창(동양고속)" xfId="1160" xr:uid="{00000000-0005-0000-0000-000081080000}"/>
    <cellStyle name="_신태백(가실행)_도덕-고흥도로(투찰)_합덕-신례원(2공구)투찰_합덕-신례원(2공구)투찰_봉무지방산업단지도로(투찰)②_마현생창(동양고속)_예정공정표" xfId="1161" xr:uid="{00000000-0005-0000-0000-000082080000}"/>
    <cellStyle name="_신태백(가실행)_도덕-고흥도로(투찰)_합덕-신례원(2공구)투찰_합덕-신례원(2공구)투찰_봉무지방산업단지도로(투찰)②_마현생창(동양고속)_왜관-태평건설" xfId="1162" xr:uid="{00000000-0005-0000-0000-000083080000}"/>
    <cellStyle name="_신태백(가실행)_도덕-고흥도로(투찰)_합덕-신례원(2공구)투찰_합덕-신례원(2공구)투찰_봉무지방산업단지도로(투찰)②_마현생창(동양고속)_왜관-태평건설_예정공정표" xfId="1163" xr:uid="{00000000-0005-0000-0000-000084080000}"/>
    <cellStyle name="_신태백(가실행)_도덕-고흥도로(투찰)_합덕-신례원(2공구)투찰_합덕-신례원(2공구)투찰_봉무지방산업단지도로(투찰)②_예정공정표" xfId="1164" xr:uid="{00000000-0005-0000-0000-000085080000}"/>
    <cellStyle name="_신태백(가실행)_도덕-고흥도로(투찰)_합덕-신례원(2공구)투찰_합덕-신례원(2공구)투찰_봉무지방산업단지도로(투찰)②_왜관-태평건설" xfId="1165" xr:uid="{00000000-0005-0000-0000-000086080000}"/>
    <cellStyle name="_신태백(가실행)_도덕-고흥도로(투찰)_합덕-신례원(2공구)투찰_합덕-신례원(2공구)투찰_봉무지방산업단지도로(투찰)②_왜관-태평건설_예정공정표" xfId="1166" xr:uid="{00000000-0005-0000-0000-000087080000}"/>
    <cellStyle name="_신태백(가실행)_도덕-고흥도로(투찰)_합덕-신례원(2공구)투찰_합덕-신례원(2공구)투찰_봉무지방산업단지도로(투찰)②+0.250%" xfId="1167" xr:uid="{00000000-0005-0000-0000-000088080000}"/>
    <cellStyle name="_신태백(가실행)_도덕-고흥도로(투찰)_합덕-신례원(2공구)투찰_합덕-신례원(2공구)투찰_봉무지방산업단지도로(투찰)②+0.250%_마현생창(동양고속)" xfId="1168" xr:uid="{00000000-0005-0000-0000-000089080000}"/>
    <cellStyle name="_신태백(가실행)_도덕-고흥도로(투찰)_합덕-신례원(2공구)투찰_합덕-신례원(2공구)투찰_봉무지방산업단지도로(투찰)②+0.250%_마현생창(동양고속)_예정공정표" xfId="1169" xr:uid="{00000000-0005-0000-0000-00008A080000}"/>
    <cellStyle name="_신태백(가실행)_도덕-고흥도로(투찰)_합덕-신례원(2공구)투찰_합덕-신례원(2공구)투찰_봉무지방산업단지도로(투찰)②+0.250%_마현생창(동양고속)_왜관-태평건설" xfId="1170" xr:uid="{00000000-0005-0000-0000-00008B080000}"/>
    <cellStyle name="_신태백(가실행)_도덕-고흥도로(투찰)_합덕-신례원(2공구)투찰_합덕-신례원(2공구)투찰_봉무지방산업단지도로(투찰)②+0.250%_마현생창(동양고속)_왜관-태평건설_예정공정표" xfId="1171" xr:uid="{00000000-0005-0000-0000-00008C080000}"/>
    <cellStyle name="_신태백(가실행)_도덕-고흥도로(투찰)_합덕-신례원(2공구)투찰_합덕-신례원(2공구)투찰_봉무지방산업단지도로(투찰)②+0.250%_예정공정표" xfId="1172" xr:uid="{00000000-0005-0000-0000-00008D080000}"/>
    <cellStyle name="_신태백(가실행)_도덕-고흥도로(투찰)_합덕-신례원(2공구)투찰_합덕-신례원(2공구)투찰_봉무지방산업단지도로(투찰)②+0.250%_왜관-태평건설" xfId="1173" xr:uid="{00000000-0005-0000-0000-00008E080000}"/>
    <cellStyle name="_신태백(가실행)_도덕-고흥도로(투찰)_합덕-신례원(2공구)투찰_합덕-신례원(2공구)투찰_봉무지방산업단지도로(투찰)②+0.250%_왜관-태평건설_예정공정표" xfId="1174" xr:uid="{00000000-0005-0000-0000-00008F080000}"/>
    <cellStyle name="_신태백(가실행)_도덕-고흥도로(투찰)_합덕-신례원(2공구)투찰_합덕-신례원(2공구)투찰_예정공정표" xfId="1175" xr:uid="{00000000-0005-0000-0000-000090080000}"/>
    <cellStyle name="_신태백(가실행)_도덕-고흥도로(투찰)_합덕-신례원(2공구)투찰_합덕-신례원(2공구)투찰_왜관-태평건설" xfId="1176" xr:uid="{00000000-0005-0000-0000-000091080000}"/>
    <cellStyle name="_신태백(가실행)_도덕-고흥도로(투찰)_합덕-신례원(2공구)투찰_합덕-신례원(2공구)투찰_왜관-태평건설_예정공정표" xfId="1177" xr:uid="{00000000-0005-0000-0000-000092080000}"/>
    <cellStyle name="_신태백(가실행)_마현생창(동양고속)" xfId="1178" xr:uid="{00000000-0005-0000-0000-000093080000}"/>
    <cellStyle name="_신태백(가실행)_마현생창(동양고속)_예정공정표" xfId="1179" xr:uid="{00000000-0005-0000-0000-000094080000}"/>
    <cellStyle name="_신태백(가실행)_마현생창(동양고속)_왜관-태평건설" xfId="1180" xr:uid="{00000000-0005-0000-0000-000095080000}"/>
    <cellStyle name="_신태백(가실행)_마현생창(동양고속)_왜관-태평건설_예정공정표" xfId="1181" xr:uid="{00000000-0005-0000-0000-000096080000}"/>
    <cellStyle name="_신태백(가실행)_봉무지방산업단지도로(투찰)②" xfId="1182" xr:uid="{00000000-0005-0000-0000-000097080000}"/>
    <cellStyle name="_신태백(가실행)_봉무지방산업단지도로(투찰)②_마현생창(동양고속)" xfId="1183" xr:uid="{00000000-0005-0000-0000-000098080000}"/>
    <cellStyle name="_신태백(가실행)_봉무지방산업단지도로(투찰)②_마현생창(동양고속)_예정공정표" xfId="1184" xr:uid="{00000000-0005-0000-0000-000099080000}"/>
    <cellStyle name="_신태백(가실행)_봉무지방산업단지도로(투찰)②_마현생창(동양고속)_왜관-태평건설" xfId="1185" xr:uid="{00000000-0005-0000-0000-00009A080000}"/>
    <cellStyle name="_신태백(가실행)_봉무지방산업단지도로(투찰)②_마현생창(동양고속)_왜관-태평건설_예정공정표" xfId="1186" xr:uid="{00000000-0005-0000-0000-00009B080000}"/>
    <cellStyle name="_신태백(가실행)_봉무지방산업단지도로(투찰)②_예정공정표" xfId="1187" xr:uid="{00000000-0005-0000-0000-00009C080000}"/>
    <cellStyle name="_신태백(가실행)_봉무지방산업단지도로(투찰)②_왜관-태평건설" xfId="1188" xr:uid="{00000000-0005-0000-0000-00009D080000}"/>
    <cellStyle name="_신태백(가실행)_봉무지방산업단지도로(투찰)②_왜관-태평건설_예정공정표" xfId="1189" xr:uid="{00000000-0005-0000-0000-00009E080000}"/>
    <cellStyle name="_신태백(가실행)_봉무지방산업단지도로(투찰)②+0.250%" xfId="1190" xr:uid="{00000000-0005-0000-0000-00009F080000}"/>
    <cellStyle name="_신태백(가실행)_봉무지방산업단지도로(투찰)②+0.250%_마현생창(동양고속)" xfId="1191" xr:uid="{00000000-0005-0000-0000-0000A0080000}"/>
    <cellStyle name="_신태백(가실행)_봉무지방산업단지도로(투찰)②+0.250%_마현생창(동양고속)_예정공정표" xfId="1192" xr:uid="{00000000-0005-0000-0000-0000A1080000}"/>
    <cellStyle name="_신태백(가실행)_봉무지방산업단지도로(투찰)②+0.250%_마현생창(동양고속)_왜관-태평건설" xfId="1193" xr:uid="{00000000-0005-0000-0000-0000A2080000}"/>
    <cellStyle name="_신태백(가실행)_봉무지방산업단지도로(투찰)②+0.250%_마현생창(동양고속)_왜관-태평건설_예정공정표" xfId="1194" xr:uid="{00000000-0005-0000-0000-0000A3080000}"/>
    <cellStyle name="_신태백(가실행)_봉무지방산업단지도로(투찰)②+0.250%_예정공정표" xfId="1195" xr:uid="{00000000-0005-0000-0000-0000A4080000}"/>
    <cellStyle name="_신태백(가실행)_봉무지방산업단지도로(투찰)②+0.250%_왜관-태평건설" xfId="1196" xr:uid="{00000000-0005-0000-0000-0000A5080000}"/>
    <cellStyle name="_신태백(가실행)_봉무지방산업단지도로(투찰)②+0.250%_왜관-태평건설_예정공정표" xfId="1197" xr:uid="{00000000-0005-0000-0000-0000A6080000}"/>
    <cellStyle name="_신태백(가실행)_안산부대(투찰)⑤" xfId="1198" xr:uid="{00000000-0005-0000-0000-0000A7080000}"/>
    <cellStyle name="_신태백(가실행)_안산부대(투찰)⑤_경찰서-터미널간도로(투찰)②" xfId="1199" xr:uid="{00000000-0005-0000-0000-0000A8080000}"/>
    <cellStyle name="_신태백(가실행)_안산부대(투찰)⑤_경찰서-터미널간도로(투찰)②_마현생창(동양고속)" xfId="1200" xr:uid="{00000000-0005-0000-0000-0000A9080000}"/>
    <cellStyle name="_신태백(가실행)_안산부대(투찰)⑤_경찰서-터미널간도로(투찰)②_마현생창(동양고속)_예정공정표" xfId="1201" xr:uid="{00000000-0005-0000-0000-0000AA080000}"/>
    <cellStyle name="_신태백(가실행)_안산부대(투찰)⑤_경찰서-터미널간도로(투찰)②_마현생창(동양고속)_왜관-태평건설" xfId="1202" xr:uid="{00000000-0005-0000-0000-0000AB080000}"/>
    <cellStyle name="_신태백(가실행)_안산부대(투찰)⑤_경찰서-터미널간도로(투찰)②_마현생창(동양고속)_왜관-태평건설_예정공정표" xfId="1203" xr:uid="{00000000-0005-0000-0000-0000AC080000}"/>
    <cellStyle name="_신태백(가실행)_안산부대(투찰)⑤_경찰서-터미널간도로(투찰)②_예정공정표" xfId="1204" xr:uid="{00000000-0005-0000-0000-0000AD080000}"/>
    <cellStyle name="_신태백(가실행)_안산부대(투찰)⑤_경찰서-터미널간도로(투찰)②_왜관-태평건설" xfId="1205" xr:uid="{00000000-0005-0000-0000-0000AE080000}"/>
    <cellStyle name="_신태백(가실행)_안산부대(투찰)⑤_경찰서-터미널간도로(투찰)②_왜관-태평건설_예정공정표" xfId="1206" xr:uid="{00000000-0005-0000-0000-0000AF080000}"/>
    <cellStyle name="_신태백(가실행)_안산부대(투찰)⑤_마현생창(동양고속)" xfId="1207" xr:uid="{00000000-0005-0000-0000-0000B0080000}"/>
    <cellStyle name="_신태백(가실행)_안산부대(투찰)⑤_마현생창(동양고속)_예정공정표" xfId="1208" xr:uid="{00000000-0005-0000-0000-0000B1080000}"/>
    <cellStyle name="_신태백(가실행)_안산부대(투찰)⑤_마현생창(동양고속)_왜관-태평건설" xfId="1209" xr:uid="{00000000-0005-0000-0000-0000B2080000}"/>
    <cellStyle name="_신태백(가실행)_안산부대(투찰)⑤_마현생창(동양고속)_왜관-태평건설_예정공정표" xfId="1210" xr:uid="{00000000-0005-0000-0000-0000B3080000}"/>
    <cellStyle name="_신태백(가실행)_안산부대(투찰)⑤_봉무지방산업단지도로(투찰)②" xfId="1211" xr:uid="{00000000-0005-0000-0000-0000B4080000}"/>
    <cellStyle name="_신태백(가실행)_안산부대(투찰)⑤_봉무지방산업단지도로(투찰)②_마현생창(동양고속)" xfId="1212" xr:uid="{00000000-0005-0000-0000-0000B5080000}"/>
    <cellStyle name="_신태백(가실행)_안산부대(투찰)⑤_봉무지방산업단지도로(투찰)②_마현생창(동양고속)_예정공정표" xfId="1213" xr:uid="{00000000-0005-0000-0000-0000B6080000}"/>
    <cellStyle name="_신태백(가실행)_안산부대(투찰)⑤_봉무지방산업단지도로(투찰)②_마현생창(동양고속)_왜관-태평건설" xfId="1214" xr:uid="{00000000-0005-0000-0000-0000B7080000}"/>
    <cellStyle name="_신태백(가실행)_안산부대(투찰)⑤_봉무지방산업단지도로(투찰)②_마현생창(동양고속)_왜관-태평건설_예정공정표" xfId="1215" xr:uid="{00000000-0005-0000-0000-0000B8080000}"/>
    <cellStyle name="_신태백(가실행)_안산부대(투찰)⑤_봉무지방산업단지도로(투찰)②_예정공정표" xfId="1216" xr:uid="{00000000-0005-0000-0000-0000B9080000}"/>
    <cellStyle name="_신태백(가실행)_안산부대(투찰)⑤_봉무지방산업단지도로(투찰)②_왜관-태평건설" xfId="1217" xr:uid="{00000000-0005-0000-0000-0000BA080000}"/>
    <cellStyle name="_신태백(가실행)_안산부대(투찰)⑤_봉무지방산업단지도로(투찰)②_왜관-태평건설_예정공정표" xfId="1218" xr:uid="{00000000-0005-0000-0000-0000BB080000}"/>
    <cellStyle name="_신태백(가실행)_안산부대(투찰)⑤_봉무지방산업단지도로(투찰)②+0.250%" xfId="1219" xr:uid="{00000000-0005-0000-0000-0000BC080000}"/>
    <cellStyle name="_신태백(가실행)_안산부대(투찰)⑤_봉무지방산업단지도로(투찰)②+0.250%_마현생창(동양고속)" xfId="1220" xr:uid="{00000000-0005-0000-0000-0000BD080000}"/>
    <cellStyle name="_신태백(가실행)_안산부대(투찰)⑤_봉무지방산업단지도로(투찰)②+0.250%_마현생창(동양고속)_예정공정표" xfId="1221" xr:uid="{00000000-0005-0000-0000-0000BE080000}"/>
    <cellStyle name="_신태백(가실행)_안산부대(투찰)⑤_봉무지방산업단지도로(투찰)②+0.250%_마현생창(동양고속)_왜관-태평건설" xfId="1222" xr:uid="{00000000-0005-0000-0000-0000BF080000}"/>
    <cellStyle name="_신태백(가실행)_안산부대(투찰)⑤_봉무지방산업단지도로(투찰)②+0.250%_마현생창(동양고속)_왜관-태평건설_예정공정표" xfId="1223" xr:uid="{00000000-0005-0000-0000-0000C0080000}"/>
    <cellStyle name="_신태백(가실행)_안산부대(투찰)⑤_봉무지방산업단지도로(투찰)②+0.250%_예정공정표" xfId="1224" xr:uid="{00000000-0005-0000-0000-0000C1080000}"/>
    <cellStyle name="_신태백(가실행)_안산부대(투찰)⑤_봉무지방산업단지도로(투찰)②+0.250%_왜관-태평건설" xfId="1225" xr:uid="{00000000-0005-0000-0000-0000C2080000}"/>
    <cellStyle name="_신태백(가실행)_안산부대(투찰)⑤_봉무지방산업단지도로(투찰)②+0.250%_왜관-태평건설_예정공정표" xfId="1226" xr:uid="{00000000-0005-0000-0000-0000C3080000}"/>
    <cellStyle name="_신태백(가실행)_안산부대(투찰)⑤_예정공정표" xfId="1227" xr:uid="{00000000-0005-0000-0000-0000C4080000}"/>
    <cellStyle name="_신태백(가실행)_안산부대(투찰)⑤_왜관-태평건설" xfId="1228" xr:uid="{00000000-0005-0000-0000-0000C5080000}"/>
    <cellStyle name="_신태백(가실행)_안산부대(투찰)⑤_왜관-태평건설_예정공정표" xfId="1229" xr:uid="{00000000-0005-0000-0000-0000C6080000}"/>
    <cellStyle name="_신태백(가실행)_안산부대(투찰)⑤_합덕-신례원(2공구)투찰" xfId="1230" xr:uid="{00000000-0005-0000-0000-0000C7080000}"/>
    <cellStyle name="_신태백(가실행)_안산부대(투찰)⑤_합덕-신례원(2공구)투찰_경찰서-터미널간도로(투찰)②" xfId="1231" xr:uid="{00000000-0005-0000-0000-0000C8080000}"/>
    <cellStyle name="_신태백(가실행)_안산부대(투찰)⑤_합덕-신례원(2공구)투찰_경찰서-터미널간도로(투찰)②_마현생창(동양고속)" xfId="1232" xr:uid="{00000000-0005-0000-0000-0000C9080000}"/>
    <cellStyle name="_신태백(가실행)_안산부대(투찰)⑤_합덕-신례원(2공구)투찰_경찰서-터미널간도로(투찰)②_마현생창(동양고속)_예정공정표" xfId="1233" xr:uid="{00000000-0005-0000-0000-0000CA080000}"/>
    <cellStyle name="_신태백(가실행)_안산부대(투찰)⑤_합덕-신례원(2공구)투찰_경찰서-터미널간도로(투찰)②_마현생창(동양고속)_왜관-태평건설" xfId="1234" xr:uid="{00000000-0005-0000-0000-0000CB080000}"/>
    <cellStyle name="_신태백(가실행)_안산부대(투찰)⑤_합덕-신례원(2공구)투찰_경찰서-터미널간도로(투찰)②_마현생창(동양고속)_왜관-태평건설_예정공정표" xfId="1235" xr:uid="{00000000-0005-0000-0000-0000CC080000}"/>
    <cellStyle name="_신태백(가실행)_안산부대(투찰)⑤_합덕-신례원(2공구)투찰_경찰서-터미널간도로(투찰)②_예정공정표" xfId="1236" xr:uid="{00000000-0005-0000-0000-0000CD080000}"/>
    <cellStyle name="_신태백(가실행)_안산부대(투찰)⑤_합덕-신례원(2공구)투찰_경찰서-터미널간도로(투찰)②_왜관-태평건설" xfId="1237" xr:uid="{00000000-0005-0000-0000-0000CE080000}"/>
    <cellStyle name="_신태백(가실행)_안산부대(투찰)⑤_합덕-신례원(2공구)투찰_경찰서-터미널간도로(투찰)②_왜관-태평건설_예정공정표" xfId="1238" xr:uid="{00000000-0005-0000-0000-0000CF080000}"/>
    <cellStyle name="_신태백(가실행)_안산부대(투찰)⑤_합덕-신례원(2공구)투찰_마현생창(동양고속)" xfId="1239" xr:uid="{00000000-0005-0000-0000-0000D0080000}"/>
    <cellStyle name="_신태백(가실행)_안산부대(투찰)⑤_합덕-신례원(2공구)투찰_마현생창(동양고속)_예정공정표" xfId="1240" xr:uid="{00000000-0005-0000-0000-0000D1080000}"/>
    <cellStyle name="_신태백(가실행)_안산부대(투찰)⑤_합덕-신례원(2공구)투찰_마현생창(동양고속)_왜관-태평건설" xfId="1241" xr:uid="{00000000-0005-0000-0000-0000D2080000}"/>
    <cellStyle name="_신태백(가실행)_안산부대(투찰)⑤_합덕-신례원(2공구)투찰_마현생창(동양고속)_왜관-태평건설_예정공정표" xfId="1242" xr:uid="{00000000-0005-0000-0000-0000D3080000}"/>
    <cellStyle name="_신태백(가실행)_안산부대(투찰)⑤_합덕-신례원(2공구)투찰_봉무지방산업단지도로(투찰)②" xfId="1243" xr:uid="{00000000-0005-0000-0000-0000D4080000}"/>
    <cellStyle name="_신태백(가실행)_안산부대(투찰)⑤_합덕-신례원(2공구)투찰_봉무지방산업단지도로(투찰)②_마현생창(동양고속)" xfId="1244" xr:uid="{00000000-0005-0000-0000-0000D5080000}"/>
    <cellStyle name="_신태백(가실행)_안산부대(투찰)⑤_합덕-신례원(2공구)투찰_봉무지방산업단지도로(투찰)②_마현생창(동양고속)_예정공정표" xfId="1245" xr:uid="{00000000-0005-0000-0000-0000D6080000}"/>
    <cellStyle name="_신태백(가실행)_안산부대(투찰)⑤_합덕-신례원(2공구)투찰_봉무지방산업단지도로(투찰)②_마현생창(동양고속)_왜관-태평건설" xfId="1246" xr:uid="{00000000-0005-0000-0000-0000D7080000}"/>
    <cellStyle name="_신태백(가실행)_안산부대(투찰)⑤_합덕-신례원(2공구)투찰_봉무지방산업단지도로(투찰)②_마현생창(동양고속)_왜관-태평건설_예정공정표" xfId="1247" xr:uid="{00000000-0005-0000-0000-0000D8080000}"/>
    <cellStyle name="_신태백(가실행)_안산부대(투찰)⑤_합덕-신례원(2공구)투찰_봉무지방산업단지도로(투찰)②_예정공정표" xfId="1248" xr:uid="{00000000-0005-0000-0000-0000D9080000}"/>
    <cellStyle name="_신태백(가실행)_안산부대(투찰)⑤_합덕-신례원(2공구)투찰_봉무지방산업단지도로(투찰)②_왜관-태평건설" xfId="1249" xr:uid="{00000000-0005-0000-0000-0000DA080000}"/>
    <cellStyle name="_신태백(가실행)_안산부대(투찰)⑤_합덕-신례원(2공구)투찰_봉무지방산업단지도로(투찰)②_왜관-태평건설_예정공정표" xfId="1250" xr:uid="{00000000-0005-0000-0000-0000DB080000}"/>
    <cellStyle name="_신태백(가실행)_안산부대(투찰)⑤_합덕-신례원(2공구)투찰_봉무지방산업단지도로(투찰)②+0.250%" xfId="1251" xr:uid="{00000000-0005-0000-0000-0000DC080000}"/>
    <cellStyle name="_신태백(가실행)_안산부대(투찰)⑤_합덕-신례원(2공구)투찰_봉무지방산업단지도로(투찰)②+0.250%_마현생창(동양고속)" xfId="1252" xr:uid="{00000000-0005-0000-0000-0000DD080000}"/>
    <cellStyle name="_신태백(가실행)_안산부대(투찰)⑤_합덕-신례원(2공구)투찰_봉무지방산업단지도로(투찰)②+0.250%_마현생창(동양고속)_예정공정표" xfId="1253" xr:uid="{00000000-0005-0000-0000-0000DE080000}"/>
    <cellStyle name="_신태백(가실행)_안산부대(투찰)⑤_합덕-신례원(2공구)투찰_봉무지방산업단지도로(투찰)②+0.250%_마현생창(동양고속)_왜관-태평건설" xfId="1254" xr:uid="{00000000-0005-0000-0000-0000DF080000}"/>
    <cellStyle name="_신태백(가실행)_안산부대(투찰)⑤_합덕-신례원(2공구)투찰_봉무지방산업단지도로(투찰)②+0.250%_마현생창(동양고속)_왜관-태평건설_예정공정표" xfId="1255" xr:uid="{00000000-0005-0000-0000-0000E0080000}"/>
    <cellStyle name="_신태백(가실행)_안산부대(투찰)⑤_합덕-신례원(2공구)투찰_봉무지방산업단지도로(투찰)②+0.250%_예정공정표" xfId="1256" xr:uid="{00000000-0005-0000-0000-0000E1080000}"/>
    <cellStyle name="_신태백(가실행)_안산부대(투찰)⑤_합덕-신례원(2공구)투찰_봉무지방산업단지도로(투찰)②+0.250%_왜관-태평건설" xfId="1257" xr:uid="{00000000-0005-0000-0000-0000E2080000}"/>
    <cellStyle name="_신태백(가실행)_안산부대(투찰)⑤_합덕-신례원(2공구)투찰_봉무지방산업단지도로(투찰)②+0.250%_왜관-태평건설_예정공정표" xfId="1258" xr:uid="{00000000-0005-0000-0000-0000E3080000}"/>
    <cellStyle name="_신태백(가실행)_안산부대(투찰)⑤_합덕-신례원(2공구)투찰_예정공정표" xfId="1259" xr:uid="{00000000-0005-0000-0000-0000E4080000}"/>
    <cellStyle name="_신태백(가실행)_안산부대(투찰)⑤_합덕-신례원(2공구)투찰_왜관-태평건설" xfId="1260" xr:uid="{00000000-0005-0000-0000-0000E5080000}"/>
    <cellStyle name="_신태백(가실행)_안산부대(투찰)⑤_합덕-신례원(2공구)투찰_왜관-태평건설_예정공정표" xfId="1261" xr:uid="{00000000-0005-0000-0000-0000E6080000}"/>
    <cellStyle name="_신태백(가실행)_안산부대(투찰)⑤_합덕-신례원(2공구)투찰_합덕-신례원(2공구)투찰" xfId="1262" xr:uid="{00000000-0005-0000-0000-0000E7080000}"/>
    <cellStyle name="_신태백(가실행)_안산부대(투찰)⑤_합덕-신례원(2공구)투찰_합덕-신례원(2공구)투찰_경찰서-터미널간도로(투찰)②" xfId="1263" xr:uid="{00000000-0005-0000-0000-0000E8080000}"/>
    <cellStyle name="_신태백(가실행)_안산부대(투찰)⑤_합덕-신례원(2공구)투찰_합덕-신례원(2공구)투찰_경찰서-터미널간도로(투찰)②_마현생창(동양고속)" xfId="1264" xr:uid="{00000000-0005-0000-0000-0000E9080000}"/>
    <cellStyle name="_신태백(가실행)_안산부대(투찰)⑤_합덕-신례원(2공구)투찰_합덕-신례원(2공구)투찰_경찰서-터미널간도로(투찰)②_마현생창(동양고속)_예정공정표" xfId="1265" xr:uid="{00000000-0005-0000-0000-0000EA080000}"/>
    <cellStyle name="_신태백(가실행)_안산부대(투찰)⑤_합덕-신례원(2공구)투찰_합덕-신례원(2공구)투찰_경찰서-터미널간도로(투찰)②_마현생창(동양고속)_왜관-태평건설" xfId="1266" xr:uid="{00000000-0005-0000-0000-0000EB080000}"/>
    <cellStyle name="_신태백(가실행)_안산부대(투찰)⑤_합덕-신례원(2공구)투찰_합덕-신례원(2공구)투찰_경찰서-터미널간도로(투찰)②_마현생창(동양고속)_왜관-태평건설_예정공정표" xfId="1267" xr:uid="{00000000-0005-0000-0000-0000EC080000}"/>
    <cellStyle name="_신태백(가실행)_안산부대(투찰)⑤_합덕-신례원(2공구)투찰_합덕-신례원(2공구)투찰_경찰서-터미널간도로(투찰)②_예정공정표" xfId="1268" xr:uid="{00000000-0005-0000-0000-0000ED080000}"/>
    <cellStyle name="_신태백(가실행)_안산부대(투찰)⑤_합덕-신례원(2공구)투찰_합덕-신례원(2공구)투찰_경찰서-터미널간도로(투찰)②_왜관-태평건설" xfId="1269" xr:uid="{00000000-0005-0000-0000-0000EE080000}"/>
    <cellStyle name="_신태백(가실행)_안산부대(투찰)⑤_합덕-신례원(2공구)투찰_합덕-신례원(2공구)투찰_경찰서-터미널간도로(투찰)②_왜관-태평건설_예정공정표" xfId="1270" xr:uid="{00000000-0005-0000-0000-0000EF080000}"/>
    <cellStyle name="_신태백(가실행)_안산부대(투찰)⑤_합덕-신례원(2공구)투찰_합덕-신례원(2공구)투찰_마현생창(동양고속)" xfId="1271" xr:uid="{00000000-0005-0000-0000-0000F0080000}"/>
    <cellStyle name="_신태백(가실행)_안산부대(투찰)⑤_합덕-신례원(2공구)투찰_합덕-신례원(2공구)투찰_마현생창(동양고속)_예정공정표" xfId="1272" xr:uid="{00000000-0005-0000-0000-0000F1080000}"/>
    <cellStyle name="_신태백(가실행)_안산부대(투찰)⑤_합덕-신례원(2공구)투찰_합덕-신례원(2공구)투찰_마현생창(동양고속)_왜관-태평건설" xfId="1273" xr:uid="{00000000-0005-0000-0000-0000F2080000}"/>
    <cellStyle name="_신태백(가실행)_안산부대(투찰)⑤_합덕-신례원(2공구)투찰_합덕-신례원(2공구)투찰_마현생창(동양고속)_왜관-태평건설_예정공정표" xfId="1274" xr:uid="{00000000-0005-0000-0000-0000F3080000}"/>
    <cellStyle name="_신태백(가실행)_안산부대(투찰)⑤_합덕-신례원(2공구)투찰_합덕-신례원(2공구)투찰_봉무지방산업단지도로(투찰)②" xfId="1275" xr:uid="{00000000-0005-0000-0000-0000F4080000}"/>
    <cellStyle name="_신태백(가실행)_안산부대(투찰)⑤_합덕-신례원(2공구)투찰_합덕-신례원(2공구)투찰_봉무지방산업단지도로(투찰)②_마현생창(동양고속)" xfId="1276" xr:uid="{00000000-0005-0000-0000-0000F5080000}"/>
    <cellStyle name="_신태백(가실행)_안산부대(투찰)⑤_합덕-신례원(2공구)투찰_합덕-신례원(2공구)투찰_봉무지방산업단지도로(투찰)②_마현생창(동양고속)_예정공정표" xfId="1277" xr:uid="{00000000-0005-0000-0000-0000F6080000}"/>
    <cellStyle name="_신태백(가실행)_안산부대(투찰)⑤_합덕-신례원(2공구)투찰_합덕-신례원(2공구)투찰_봉무지방산업단지도로(투찰)②_마현생창(동양고속)_왜관-태평건설" xfId="1278" xr:uid="{00000000-0005-0000-0000-0000F7080000}"/>
    <cellStyle name="_신태백(가실행)_안산부대(투찰)⑤_합덕-신례원(2공구)투찰_합덕-신례원(2공구)투찰_봉무지방산업단지도로(투찰)②_마현생창(동양고속)_왜관-태평건설_예정공정표" xfId="1279" xr:uid="{00000000-0005-0000-0000-0000F8080000}"/>
    <cellStyle name="_신태백(가실행)_안산부대(투찰)⑤_합덕-신례원(2공구)투찰_합덕-신례원(2공구)투찰_봉무지방산업단지도로(투찰)②_예정공정표" xfId="1280" xr:uid="{00000000-0005-0000-0000-0000F9080000}"/>
    <cellStyle name="_신태백(가실행)_안산부대(투찰)⑤_합덕-신례원(2공구)투찰_합덕-신례원(2공구)투찰_봉무지방산업단지도로(투찰)②_왜관-태평건설" xfId="1281" xr:uid="{00000000-0005-0000-0000-0000FA080000}"/>
    <cellStyle name="_신태백(가실행)_안산부대(투찰)⑤_합덕-신례원(2공구)투찰_합덕-신례원(2공구)투찰_봉무지방산업단지도로(투찰)②_왜관-태평건설_예정공정표" xfId="1282" xr:uid="{00000000-0005-0000-0000-0000FB080000}"/>
    <cellStyle name="_신태백(가실행)_안산부대(투찰)⑤_합덕-신례원(2공구)투찰_합덕-신례원(2공구)투찰_봉무지방산업단지도로(투찰)②+0.250%" xfId="1283" xr:uid="{00000000-0005-0000-0000-0000FC080000}"/>
    <cellStyle name="_신태백(가실행)_안산부대(투찰)⑤_합덕-신례원(2공구)투찰_합덕-신례원(2공구)투찰_봉무지방산업단지도로(투찰)②+0.250%_마현생창(동양고속)" xfId="1284" xr:uid="{00000000-0005-0000-0000-0000FD080000}"/>
    <cellStyle name="_신태백(가실행)_안산부대(투찰)⑤_합덕-신례원(2공구)투찰_합덕-신례원(2공구)투찰_봉무지방산업단지도로(투찰)②+0.250%_마현생창(동양고속)_예정공정표" xfId="1285" xr:uid="{00000000-0005-0000-0000-0000FE080000}"/>
    <cellStyle name="_신태백(가실행)_안산부대(투찰)⑤_합덕-신례원(2공구)투찰_합덕-신례원(2공구)투찰_봉무지방산업단지도로(투찰)②+0.250%_마현생창(동양고속)_왜관-태평건설" xfId="1286" xr:uid="{00000000-0005-0000-0000-0000FF080000}"/>
    <cellStyle name="_신태백(가실행)_안산부대(투찰)⑤_합덕-신례원(2공구)투찰_합덕-신례원(2공구)투찰_봉무지방산업단지도로(투찰)②+0.250%_마현생창(동양고속)_왜관-태평건설_예정공정표" xfId="1287" xr:uid="{00000000-0005-0000-0000-000000090000}"/>
    <cellStyle name="_신태백(가실행)_안산부대(투찰)⑤_합덕-신례원(2공구)투찰_합덕-신례원(2공구)투찰_봉무지방산업단지도로(투찰)②+0.250%_예정공정표" xfId="1288" xr:uid="{00000000-0005-0000-0000-000001090000}"/>
    <cellStyle name="_신태백(가실행)_안산부대(투찰)⑤_합덕-신례원(2공구)투찰_합덕-신례원(2공구)투찰_봉무지방산업단지도로(투찰)②+0.250%_왜관-태평건설" xfId="1289" xr:uid="{00000000-0005-0000-0000-000002090000}"/>
    <cellStyle name="_신태백(가실행)_안산부대(투찰)⑤_합덕-신례원(2공구)투찰_합덕-신례원(2공구)투찰_봉무지방산업단지도로(투찰)②+0.250%_왜관-태평건설_예정공정표" xfId="1290" xr:uid="{00000000-0005-0000-0000-000003090000}"/>
    <cellStyle name="_신태백(가실행)_안산부대(투찰)⑤_합덕-신례원(2공구)투찰_합덕-신례원(2공구)투찰_예정공정표" xfId="1291" xr:uid="{00000000-0005-0000-0000-000004090000}"/>
    <cellStyle name="_신태백(가실행)_안산부대(투찰)⑤_합덕-신례원(2공구)투찰_합덕-신례원(2공구)투찰_왜관-태평건설" xfId="1292" xr:uid="{00000000-0005-0000-0000-000005090000}"/>
    <cellStyle name="_신태백(가실행)_안산부대(투찰)⑤_합덕-신례원(2공구)투찰_합덕-신례원(2공구)투찰_왜관-태평건설_예정공정표" xfId="1293" xr:uid="{00000000-0005-0000-0000-000006090000}"/>
    <cellStyle name="_신태백(가실행)_양곡부두(투찰)-0.31%" xfId="1294" xr:uid="{00000000-0005-0000-0000-000007090000}"/>
    <cellStyle name="_신태백(가실행)_양곡부두(투찰)-0.31%_경찰서-터미널간도로(투찰)②" xfId="1295" xr:uid="{00000000-0005-0000-0000-000008090000}"/>
    <cellStyle name="_신태백(가실행)_양곡부두(투찰)-0.31%_경찰서-터미널간도로(투찰)②_마현생창(동양고속)" xfId="1296" xr:uid="{00000000-0005-0000-0000-000009090000}"/>
    <cellStyle name="_신태백(가실행)_양곡부두(투찰)-0.31%_경찰서-터미널간도로(투찰)②_마현생창(동양고속)_예정공정표" xfId="1297" xr:uid="{00000000-0005-0000-0000-00000A090000}"/>
    <cellStyle name="_신태백(가실행)_양곡부두(투찰)-0.31%_경찰서-터미널간도로(투찰)②_마현생창(동양고속)_왜관-태평건설" xfId="1298" xr:uid="{00000000-0005-0000-0000-00000B090000}"/>
    <cellStyle name="_신태백(가실행)_양곡부두(투찰)-0.31%_경찰서-터미널간도로(투찰)②_마현생창(동양고속)_왜관-태평건설_예정공정표" xfId="1299" xr:uid="{00000000-0005-0000-0000-00000C090000}"/>
    <cellStyle name="_신태백(가실행)_양곡부두(투찰)-0.31%_경찰서-터미널간도로(투찰)②_예정공정표" xfId="1300" xr:uid="{00000000-0005-0000-0000-00000D090000}"/>
    <cellStyle name="_신태백(가실행)_양곡부두(투찰)-0.31%_경찰서-터미널간도로(투찰)②_왜관-태평건설" xfId="1301" xr:uid="{00000000-0005-0000-0000-00000E090000}"/>
    <cellStyle name="_신태백(가실행)_양곡부두(투찰)-0.31%_경찰서-터미널간도로(투찰)②_왜관-태평건설_예정공정표" xfId="1302" xr:uid="{00000000-0005-0000-0000-00000F090000}"/>
    <cellStyle name="_신태백(가실행)_양곡부두(투찰)-0.31%_마현생창(동양고속)" xfId="1303" xr:uid="{00000000-0005-0000-0000-000010090000}"/>
    <cellStyle name="_신태백(가실행)_양곡부두(투찰)-0.31%_마현생창(동양고속)_예정공정표" xfId="1304" xr:uid="{00000000-0005-0000-0000-000011090000}"/>
    <cellStyle name="_신태백(가실행)_양곡부두(투찰)-0.31%_마현생창(동양고속)_왜관-태평건설" xfId="1305" xr:uid="{00000000-0005-0000-0000-000012090000}"/>
    <cellStyle name="_신태백(가실행)_양곡부두(투찰)-0.31%_마현생창(동양고속)_왜관-태평건설_예정공정표" xfId="1306" xr:uid="{00000000-0005-0000-0000-000013090000}"/>
    <cellStyle name="_신태백(가실행)_양곡부두(투찰)-0.31%_봉무지방산업단지도로(투찰)②" xfId="1307" xr:uid="{00000000-0005-0000-0000-000014090000}"/>
    <cellStyle name="_신태백(가실행)_양곡부두(투찰)-0.31%_봉무지방산업단지도로(투찰)②_마현생창(동양고속)" xfId="1308" xr:uid="{00000000-0005-0000-0000-000015090000}"/>
    <cellStyle name="_신태백(가실행)_양곡부두(투찰)-0.31%_봉무지방산업단지도로(투찰)②_마현생창(동양고속)_예정공정표" xfId="1309" xr:uid="{00000000-0005-0000-0000-000016090000}"/>
    <cellStyle name="_신태백(가실행)_양곡부두(투찰)-0.31%_봉무지방산업단지도로(투찰)②_마현생창(동양고속)_왜관-태평건설" xfId="1310" xr:uid="{00000000-0005-0000-0000-000017090000}"/>
    <cellStyle name="_신태백(가실행)_양곡부두(투찰)-0.31%_봉무지방산업단지도로(투찰)②_마현생창(동양고속)_왜관-태평건설_예정공정표" xfId="1311" xr:uid="{00000000-0005-0000-0000-000018090000}"/>
    <cellStyle name="_신태백(가실행)_양곡부두(투찰)-0.31%_봉무지방산업단지도로(투찰)②_예정공정표" xfId="1312" xr:uid="{00000000-0005-0000-0000-000019090000}"/>
    <cellStyle name="_신태백(가실행)_양곡부두(투찰)-0.31%_봉무지방산업단지도로(투찰)②_왜관-태평건설" xfId="1313" xr:uid="{00000000-0005-0000-0000-00001A090000}"/>
    <cellStyle name="_신태백(가실행)_양곡부두(투찰)-0.31%_봉무지방산업단지도로(투찰)②_왜관-태평건설_예정공정표" xfId="1314" xr:uid="{00000000-0005-0000-0000-00001B090000}"/>
    <cellStyle name="_신태백(가실행)_양곡부두(투찰)-0.31%_봉무지방산업단지도로(투찰)②+0.250%" xfId="1315" xr:uid="{00000000-0005-0000-0000-00001C090000}"/>
    <cellStyle name="_신태백(가실행)_양곡부두(투찰)-0.31%_봉무지방산업단지도로(투찰)②+0.250%_마현생창(동양고속)" xfId="1316" xr:uid="{00000000-0005-0000-0000-00001D090000}"/>
    <cellStyle name="_신태백(가실행)_양곡부두(투찰)-0.31%_봉무지방산업단지도로(투찰)②+0.250%_마현생창(동양고속)_예정공정표" xfId="1317" xr:uid="{00000000-0005-0000-0000-00001E090000}"/>
    <cellStyle name="_신태백(가실행)_양곡부두(투찰)-0.31%_봉무지방산업단지도로(투찰)②+0.250%_마현생창(동양고속)_왜관-태평건설" xfId="1318" xr:uid="{00000000-0005-0000-0000-00001F090000}"/>
    <cellStyle name="_신태백(가실행)_양곡부두(투찰)-0.31%_봉무지방산업단지도로(투찰)②+0.250%_마현생창(동양고속)_왜관-태평건설_예정공정표" xfId="1319" xr:uid="{00000000-0005-0000-0000-000020090000}"/>
    <cellStyle name="_신태백(가실행)_양곡부두(투찰)-0.31%_봉무지방산업단지도로(투찰)②+0.250%_예정공정표" xfId="1320" xr:uid="{00000000-0005-0000-0000-000021090000}"/>
    <cellStyle name="_신태백(가실행)_양곡부두(투찰)-0.31%_봉무지방산업단지도로(투찰)②+0.250%_왜관-태평건설" xfId="1321" xr:uid="{00000000-0005-0000-0000-000022090000}"/>
    <cellStyle name="_신태백(가실행)_양곡부두(투찰)-0.31%_봉무지방산업단지도로(투찰)②+0.250%_왜관-태평건설_예정공정표" xfId="1322" xr:uid="{00000000-0005-0000-0000-000023090000}"/>
    <cellStyle name="_신태백(가실행)_양곡부두(투찰)-0.31%_예정공정표" xfId="1323" xr:uid="{00000000-0005-0000-0000-000024090000}"/>
    <cellStyle name="_신태백(가실행)_양곡부두(투찰)-0.31%_왜관-태평건설" xfId="1324" xr:uid="{00000000-0005-0000-0000-000025090000}"/>
    <cellStyle name="_신태백(가실행)_양곡부두(투찰)-0.31%_왜관-태평건설_예정공정표" xfId="1325" xr:uid="{00000000-0005-0000-0000-000026090000}"/>
    <cellStyle name="_신태백(가실행)_양곡부두(투찰)-0.31%_합덕-신례원(2공구)투찰" xfId="1326" xr:uid="{00000000-0005-0000-0000-000027090000}"/>
    <cellStyle name="_신태백(가실행)_양곡부두(투찰)-0.31%_합덕-신례원(2공구)투찰_경찰서-터미널간도로(투찰)②" xfId="1327" xr:uid="{00000000-0005-0000-0000-000028090000}"/>
    <cellStyle name="_신태백(가실행)_양곡부두(투찰)-0.31%_합덕-신례원(2공구)투찰_경찰서-터미널간도로(투찰)②_마현생창(동양고속)" xfId="1328" xr:uid="{00000000-0005-0000-0000-000029090000}"/>
    <cellStyle name="_신태백(가실행)_양곡부두(투찰)-0.31%_합덕-신례원(2공구)투찰_경찰서-터미널간도로(투찰)②_마현생창(동양고속)_예정공정표" xfId="1329" xr:uid="{00000000-0005-0000-0000-00002A090000}"/>
    <cellStyle name="_신태백(가실행)_양곡부두(투찰)-0.31%_합덕-신례원(2공구)투찰_경찰서-터미널간도로(투찰)②_마현생창(동양고속)_왜관-태평건설" xfId="1330" xr:uid="{00000000-0005-0000-0000-00002B090000}"/>
    <cellStyle name="_신태백(가실행)_양곡부두(투찰)-0.31%_합덕-신례원(2공구)투찰_경찰서-터미널간도로(투찰)②_마현생창(동양고속)_왜관-태평건설_예정공정표" xfId="1331" xr:uid="{00000000-0005-0000-0000-00002C090000}"/>
    <cellStyle name="_신태백(가실행)_양곡부두(투찰)-0.31%_합덕-신례원(2공구)투찰_경찰서-터미널간도로(투찰)②_예정공정표" xfId="1332" xr:uid="{00000000-0005-0000-0000-00002D090000}"/>
    <cellStyle name="_신태백(가실행)_양곡부두(투찰)-0.31%_합덕-신례원(2공구)투찰_경찰서-터미널간도로(투찰)②_왜관-태평건설" xfId="1333" xr:uid="{00000000-0005-0000-0000-00002E090000}"/>
    <cellStyle name="_신태백(가실행)_양곡부두(투찰)-0.31%_합덕-신례원(2공구)투찰_경찰서-터미널간도로(투찰)②_왜관-태평건설_예정공정표" xfId="1334" xr:uid="{00000000-0005-0000-0000-00002F090000}"/>
    <cellStyle name="_신태백(가실행)_양곡부두(투찰)-0.31%_합덕-신례원(2공구)투찰_마현생창(동양고속)" xfId="1335" xr:uid="{00000000-0005-0000-0000-000030090000}"/>
    <cellStyle name="_신태백(가실행)_양곡부두(투찰)-0.31%_합덕-신례원(2공구)투찰_마현생창(동양고속)_예정공정표" xfId="1336" xr:uid="{00000000-0005-0000-0000-000031090000}"/>
    <cellStyle name="_신태백(가실행)_양곡부두(투찰)-0.31%_합덕-신례원(2공구)투찰_마현생창(동양고속)_왜관-태평건설" xfId="1337" xr:uid="{00000000-0005-0000-0000-000032090000}"/>
    <cellStyle name="_신태백(가실행)_양곡부두(투찰)-0.31%_합덕-신례원(2공구)투찰_마현생창(동양고속)_왜관-태평건설_예정공정표" xfId="1338" xr:uid="{00000000-0005-0000-0000-000033090000}"/>
    <cellStyle name="_신태백(가실행)_양곡부두(투찰)-0.31%_합덕-신례원(2공구)투찰_봉무지방산업단지도로(투찰)②" xfId="1339" xr:uid="{00000000-0005-0000-0000-000034090000}"/>
    <cellStyle name="_신태백(가실행)_양곡부두(투찰)-0.31%_합덕-신례원(2공구)투찰_봉무지방산업단지도로(투찰)②_마현생창(동양고속)" xfId="1340" xr:uid="{00000000-0005-0000-0000-000035090000}"/>
    <cellStyle name="_신태백(가실행)_양곡부두(투찰)-0.31%_합덕-신례원(2공구)투찰_봉무지방산업단지도로(투찰)②_마현생창(동양고속)_예정공정표" xfId="1341" xr:uid="{00000000-0005-0000-0000-000036090000}"/>
    <cellStyle name="_신태백(가실행)_양곡부두(투찰)-0.31%_합덕-신례원(2공구)투찰_봉무지방산업단지도로(투찰)②_마현생창(동양고속)_왜관-태평건설" xfId="1342" xr:uid="{00000000-0005-0000-0000-000037090000}"/>
    <cellStyle name="_신태백(가실행)_양곡부두(투찰)-0.31%_합덕-신례원(2공구)투찰_봉무지방산업단지도로(투찰)②_마현생창(동양고속)_왜관-태평건설_예정공정표" xfId="1343" xr:uid="{00000000-0005-0000-0000-000038090000}"/>
    <cellStyle name="_신태백(가실행)_양곡부두(투찰)-0.31%_합덕-신례원(2공구)투찰_봉무지방산업단지도로(투찰)②_예정공정표" xfId="1344" xr:uid="{00000000-0005-0000-0000-000039090000}"/>
    <cellStyle name="_신태백(가실행)_양곡부두(투찰)-0.31%_합덕-신례원(2공구)투찰_봉무지방산업단지도로(투찰)②_왜관-태평건설" xfId="1345" xr:uid="{00000000-0005-0000-0000-00003A090000}"/>
    <cellStyle name="_신태백(가실행)_양곡부두(투찰)-0.31%_합덕-신례원(2공구)투찰_봉무지방산업단지도로(투찰)②_왜관-태평건설_예정공정표" xfId="1346" xr:uid="{00000000-0005-0000-0000-00003B090000}"/>
    <cellStyle name="_신태백(가실행)_양곡부두(투찰)-0.31%_합덕-신례원(2공구)투찰_봉무지방산업단지도로(투찰)②+0.250%" xfId="1347" xr:uid="{00000000-0005-0000-0000-00003C090000}"/>
    <cellStyle name="_신태백(가실행)_양곡부두(투찰)-0.31%_합덕-신례원(2공구)투찰_봉무지방산업단지도로(투찰)②+0.250%_마현생창(동양고속)" xfId="1348" xr:uid="{00000000-0005-0000-0000-00003D090000}"/>
    <cellStyle name="_신태백(가실행)_양곡부두(투찰)-0.31%_합덕-신례원(2공구)투찰_봉무지방산업단지도로(투찰)②+0.250%_마현생창(동양고속)_예정공정표" xfId="1349" xr:uid="{00000000-0005-0000-0000-00003E090000}"/>
    <cellStyle name="_신태백(가실행)_양곡부두(투찰)-0.31%_합덕-신례원(2공구)투찰_봉무지방산업단지도로(투찰)②+0.250%_마현생창(동양고속)_왜관-태평건설" xfId="1350" xr:uid="{00000000-0005-0000-0000-00003F090000}"/>
    <cellStyle name="_신태백(가실행)_양곡부두(투찰)-0.31%_합덕-신례원(2공구)투찰_봉무지방산업단지도로(투찰)②+0.250%_마현생창(동양고속)_왜관-태평건설_예정공정표" xfId="1351" xr:uid="{00000000-0005-0000-0000-000040090000}"/>
    <cellStyle name="_신태백(가실행)_양곡부두(투찰)-0.31%_합덕-신례원(2공구)투찰_봉무지방산업단지도로(투찰)②+0.250%_예정공정표" xfId="1352" xr:uid="{00000000-0005-0000-0000-000041090000}"/>
    <cellStyle name="_신태백(가실행)_양곡부두(투찰)-0.31%_합덕-신례원(2공구)투찰_봉무지방산업단지도로(투찰)②+0.250%_왜관-태평건설" xfId="1353" xr:uid="{00000000-0005-0000-0000-000042090000}"/>
    <cellStyle name="_신태백(가실행)_양곡부두(투찰)-0.31%_합덕-신례원(2공구)투찰_봉무지방산업단지도로(투찰)②+0.250%_왜관-태평건설_예정공정표" xfId="1354" xr:uid="{00000000-0005-0000-0000-000043090000}"/>
    <cellStyle name="_신태백(가실행)_양곡부두(투찰)-0.31%_합덕-신례원(2공구)투찰_예정공정표" xfId="1355" xr:uid="{00000000-0005-0000-0000-000044090000}"/>
    <cellStyle name="_신태백(가실행)_양곡부두(투찰)-0.31%_합덕-신례원(2공구)투찰_왜관-태평건설" xfId="1356" xr:uid="{00000000-0005-0000-0000-000045090000}"/>
    <cellStyle name="_신태백(가실행)_양곡부두(투찰)-0.31%_합덕-신례원(2공구)투찰_왜관-태평건설_예정공정표" xfId="1357" xr:uid="{00000000-0005-0000-0000-000046090000}"/>
    <cellStyle name="_신태백(가실행)_양곡부두(투찰)-0.31%_합덕-신례원(2공구)투찰_합덕-신례원(2공구)투찰" xfId="1358" xr:uid="{00000000-0005-0000-0000-000047090000}"/>
    <cellStyle name="_신태백(가실행)_양곡부두(투찰)-0.31%_합덕-신례원(2공구)투찰_합덕-신례원(2공구)투찰_경찰서-터미널간도로(투찰)②" xfId="1359" xr:uid="{00000000-0005-0000-0000-000048090000}"/>
    <cellStyle name="_신태백(가실행)_양곡부두(투찰)-0.31%_합덕-신례원(2공구)투찰_합덕-신례원(2공구)투찰_경찰서-터미널간도로(투찰)②_마현생창(동양고속)" xfId="1360" xr:uid="{00000000-0005-0000-0000-000049090000}"/>
    <cellStyle name="_신태백(가실행)_양곡부두(투찰)-0.31%_합덕-신례원(2공구)투찰_합덕-신례원(2공구)투찰_경찰서-터미널간도로(투찰)②_마현생창(동양고속)_예정공정표" xfId="1361" xr:uid="{00000000-0005-0000-0000-00004A090000}"/>
    <cellStyle name="_신태백(가실행)_양곡부두(투찰)-0.31%_합덕-신례원(2공구)투찰_합덕-신례원(2공구)투찰_경찰서-터미널간도로(투찰)②_마현생창(동양고속)_왜관-태평건설" xfId="1362" xr:uid="{00000000-0005-0000-0000-00004B090000}"/>
    <cellStyle name="_신태백(가실행)_양곡부두(투찰)-0.31%_합덕-신례원(2공구)투찰_합덕-신례원(2공구)투찰_경찰서-터미널간도로(투찰)②_마현생창(동양고속)_왜관-태평건설_예정공정표" xfId="1363" xr:uid="{00000000-0005-0000-0000-00004C090000}"/>
    <cellStyle name="_신태백(가실행)_양곡부두(투찰)-0.31%_합덕-신례원(2공구)투찰_합덕-신례원(2공구)투찰_경찰서-터미널간도로(투찰)②_예정공정표" xfId="1364" xr:uid="{00000000-0005-0000-0000-00004D090000}"/>
    <cellStyle name="_신태백(가실행)_양곡부두(투찰)-0.31%_합덕-신례원(2공구)투찰_합덕-신례원(2공구)투찰_경찰서-터미널간도로(투찰)②_왜관-태평건설" xfId="1365" xr:uid="{00000000-0005-0000-0000-00004E090000}"/>
    <cellStyle name="_신태백(가실행)_양곡부두(투찰)-0.31%_합덕-신례원(2공구)투찰_합덕-신례원(2공구)투찰_경찰서-터미널간도로(투찰)②_왜관-태평건설_예정공정표" xfId="1366" xr:uid="{00000000-0005-0000-0000-00004F090000}"/>
    <cellStyle name="_신태백(가실행)_양곡부두(투찰)-0.31%_합덕-신례원(2공구)투찰_합덕-신례원(2공구)투찰_마현생창(동양고속)" xfId="1367" xr:uid="{00000000-0005-0000-0000-000050090000}"/>
    <cellStyle name="_신태백(가실행)_양곡부두(투찰)-0.31%_합덕-신례원(2공구)투찰_합덕-신례원(2공구)투찰_마현생창(동양고속)_예정공정표" xfId="1368" xr:uid="{00000000-0005-0000-0000-000051090000}"/>
    <cellStyle name="_신태백(가실행)_양곡부두(투찰)-0.31%_합덕-신례원(2공구)투찰_합덕-신례원(2공구)투찰_마현생창(동양고속)_왜관-태평건설" xfId="1369" xr:uid="{00000000-0005-0000-0000-000052090000}"/>
    <cellStyle name="_신태백(가실행)_양곡부두(투찰)-0.31%_합덕-신례원(2공구)투찰_합덕-신례원(2공구)투찰_마현생창(동양고속)_왜관-태평건설_예정공정표" xfId="1370" xr:uid="{00000000-0005-0000-0000-000053090000}"/>
    <cellStyle name="_신태백(가실행)_양곡부두(투찰)-0.31%_합덕-신례원(2공구)투찰_합덕-신례원(2공구)투찰_봉무지방산업단지도로(투찰)②" xfId="1371" xr:uid="{00000000-0005-0000-0000-000054090000}"/>
    <cellStyle name="_신태백(가실행)_양곡부두(투찰)-0.31%_합덕-신례원(2공구)투찰_합덕-신례원(2공구)투찰_봉무지방산업단지도로(투찰)②_마현생창(동양고속)" xfId="1372" xr:uid="{00000000-0005-0000-0000-000055090000}"/>
    <cellStyle name="_신태백(가실행)_양곡부두(투찰)-0.31%_합덕-신례원(2공구)투찰_합덕-신례원(2공구)투찰_봉무지방산업단지도로(투찰)②_마현생창(동양고속)_예정공정표" xfId="1373" xr:uid="{00000000-0005-0000-0000-000056090000}"/>
    <cellStyle name="_신태백(가실행)_양곡부두(투찰)-0.31%_합덕-신례원(2공구)투찰_합덕-신례원(2공구)투찰_봉무지방산업단지도로(투찰)②_마현생창(동양고속)_왜관-태평건설" xfId="1374" xr:uid="{00000000-0005-0000-0000-000057090000}"/>
    <cellStyle name="_신태백(가실행)_양곡부두(투찰)-0.31%_합덕-신례원(2공구)투찰_합덕-신례원(2공구)투찰_봉무지방산업단지도로(투찰)②_마현생창(동양고속)_왜관-태평건설_예정공정표" xfId="1375" xr:uid="{00000000-0005-0000-0000-000058090000}"/>
    <cellStyle name="_신태백(가실행)_양곡부두(투찰)-0.31%_합덕-신례원(2공구)투찰_합덕-신례원(2공구)투찰_봉무지방산업단지도로(투찰)②_예정공정표" xfId="1376" xr:uid="{00000000-0005-0000-0000-000059090000}"/>
    <cellStyle name="_신태백(가실행)_양곡부두(투찰)-0.31%_합덕-신례원(2공구)투찰_합덕-신례원(2공구)투찰_봉무지방산업단지도로(투찰)②_왜관-태평건설" xfId="1377" xr:uid="{00000000-0005-0000-0000-00005A090000}"/>
    <cellStyle name="_신태백(가실행)_양곡부두(투찰)-0.31%_합덕-신례원(2공구)투찰_합덕-신례원(2공구)투찰_봉무지방산업단지도로(투찰)②_왜관-태평건설_예정공정표" xfId="1378" xr:uid="{00000000-0005-0000-0000-00005B090000}"/>
    <cellStyle name="_신태백(가실행)_양곡부두(투찰)-0.31%_합덕-신례원(2공구)투찰_합덕-신례원(2공구)투찰_봉무지방산업단지도로(투찰)②+0.250%" xfId="1379" xr:uid="{00000000-0005-0000-0000-00005C090000}"/>
    <cellStyle name="_신태백(가실행)_양곡부두(투찰)-0.31%_합덕-신례원(2공구)투찰_합덕-신례원(2공구)투찰_봉무지방산업단지도로(투찰)②+0.250%_마현생창(동양고속)" xfId="1380" xr:uid="{00000000-0005-0000-0000-00005D090000}"/>
    <cellStyle name="_신태백(가실행)_양곡부두(투찰)-0.31%_합덕-신례원(2공구)투찰_합덕-신례원(2공구)투찰_봉무지방산업단지도로(투찰)②+0.250%_마현생창(동양고속)_예정공정표" xfId="1381" xr:uid="{00000000-0005-0000-0000-00005E090000}"/>
    <cellStyle name="_신태백(가실행)_양곡부두(투찰)-0.31%_합덕-신례원(2공구)투찰_합덕-신례원(2공구)투찰_봉무지방산업단지도로(투찰)②+0.250%_마현생창(동양고속)_왜관-태평건설" xfId="1382" xr:uid="{00000000-0005-0000-0000-00005F090000}"/>
    <cellStyle name="_신태백(가실행)_양곡부두(투찰)-0.31%_합덕-신례원(2공구)투찰_합덕-신례원(2공구)투찰_봉무지방산업단지도로(투찰)②+0.250%_마현생창(동양고속)_왜관-태평건설_예정공정표" xfId="1383" xr:uid="{00000000-0005-0000-0000-000060090000}"/>
    <cellStyle name="_신태백(가실행)_양곡부두(투찰)-0.31%_합덕-신례원(2공구)투찰_합덕-신례원(2공구)투찰_봉무지방산업단지도로(투찰)②+0.250%_예정공정표" xfId="1384" xr:uid="{00000000-0005-0000-0000-000061090000}"/>
    <cellStyle name="_신태백(가실행)_양곡부두(투찰)-0.31%_합덕-신례원(2공구)투찰_합덕-신례원(2공구)투찰_봉무지방산업단지도로(투찰)②+0.250%_왜관-태평건설" xfId="1385" xr:uid="{00000000-0005-0000-0000-000062090000}"/>
    <cellStyle name="_신태백(가실행)_양곡부두(투찰)-0.31%_합덕-신례원(2공구)투찰_합덕-신례원(2공구)투찰_봉무지방산업단지도로(투찰)②+0.250%_왜관-태평건설_예정공정표" xfId="1386" xr:uid="{00000000-0005-0000-0000-000063090000}"/>
    <cellStyle name="_신태백(가실행)_양곡부두(투찰)-0.31%_합덕-신례원(2공구)투찰_합덕-신례원(2공구)투찰_예정공정표" xfId="1387" xr:uid="{00000000-0005-0000-0000-000064090000}"/>
    <cellStyle name="_신태백(가실행)_양곡부두(투찰)-0.31%_합덕-신례원(2공구)투찰_합덕-신례원(2공구)투찰_왜관-태평건설" xfId="1388" xr:uid="{00000000-0005-0000-0000-000065090000}"/>
    <cellStyle name="_신태백(가실행)_양곡부두(투찰)-0.31%_합덕-신례원(2공구)투찰_합덕-신례원(2공구)투찰_왜관-태평건설_예정공정표" xfId="1389" xr:uid="{00000000-0005-0000-0000-000066090000}"/>
    <cellStyle name="_신태백(가실행)_예정공정표" xfId="1390" xr:uid="{00000000-0005-0000-0000-000067090000}"/>
    <cellStyle name="_신태백(가실행)_왜관-태평건설" xfId="1391" xr:uid="{00000000-0005-0000-0000-000068090000}"/>
    <cellStyle name="_신태백(가실행)_왜관-태평건설_예정공정표" xfId="1392" xr:uid="{00000000-0005-0000-0000-000069090000}"/>
    <cellStyle name="_신태백(가실행)_창원상수도(토목)투찰" xfId="1393" xr:uid="{00000000-0005-0000-0000-00006A090000}"/>
    <cellStyle name="_신태백(가실행)_창원상수도(토목)투찰_경찰서-터미널간도로(투찰)②" xfId="1394" xr:uid="{00000000-0005-0000-0000-00006B090000}"/>
    <cellStyle name="_신태백(가실행)_창원상수도(토목)투찰_경찰서-터미널간도로(투찰)②_마현생창(동양고속)" xfId="1395" xr:uid="{00000000-0005-0000-0000-00006C090000}"/>
    <cellStyle name="_신태백(가실행)_창원상수도(토목)투찰_경찰서-터미널간도로(투찰)②_마현생창(동양고속)_예정공정표" xfId="1396" xr:uid="{00000000-0005-0000-0000-00006D090000}"/>
    <cellStyle name="_신태백(가실행)_창원상수도(토목)투찰_경찰서-터미널간도로(투찰)②_마현생창(동양고속)_왜관-태평건설" xfId="1397" xr:uid="{00000000-0005-0000-0000-00006E090000}"/>
    <cellStyle name="_신태백(가실행)_창원상수도(토목)투찰_경찰서-터미널간도로(투찰)②_마현생창(동양고속)_왜관-태평건설_예정공정표" xfId="1398" xr:uid="{00000000-0005-0000-0000-00006F090000}"/>
    <cellStyle name="_신태백(가실행)_창원상수도(토목)투찰_경찰서-터미널간도로(투찰)②_예정공정표" xfId="1399" xr:uid="{00000000-0005-0000-0000-000070090000}"/>
    <cellStyle name="_신태백(가실행)_창원상수도(토목)투찰_경찰서-터미널간도로(투찰)②_왜관-태평건설" xfId="1400" xr:uid="{00000000-0005-0000-0000-000071090000}"/>
    <cellStyle name="_신태백(가실행)_창원상수도(토목)투찰_경찰서-터미널간도로(투찰)②_왜관-태평건설_예정공정표" xfId="1401" xr:uid="{00000000-0005-0000-0000-000072090000}"/>
    <cellStyle name="_신태백(가실행)_창원상수도(토목)투찰_마현생창(동양고속)" xfId="1402" xr:uid="{00000000-0005-0000-0000-000073090000}"/>
    <cellStyle name="_신태백(가실행)_창원상수도(토목)투찰_마현생창(동양고속)_예정공정표" xfId="1403" xr:uid="{00000000-0005-0000-0000-000074090000}"/>
    <cellStyle name="_신태백(가실행)_창원상수도(토목)투찰_마현생창(동양고속)_왜관-태평건설" xfId="1404" xr:uid="{00000000-0005-0000-0000-000075090000}"/>
    <cellStyle name="_신태백(가실행)_창원상수도(토목)투찰_마현생창(동양고속)_왜관-태평건설_예정공정표" xfId="1405" xr:uid="{00000000-0005-0000-0000-000076090000}"/>
    <cellStyle name="_신태백(가실행)_창원상수도(토목)투찰_봉무지방산업단지도로(투찰)②" xfId="1406" xr:uid="{00000000-0005-0000-0000-000077090000}"/>
    <cellStyle name="_신태백(가실행)_창원상수도(토목)투찰_봉무지방산업단지도로(투찰)②_마현생창(동양고속)" xfId="1407" xr:uid="{00000000-0005-0000-0000-000078090000}"/>
    <cellStyle name="_신태백(가실행)_창원상수도(토목)투찰_봉무지방산업단지도로(투찰)②_마현생창(동양고속)_예정공정표" xfId="1408" xr:uid="{00000000-0005-0000-0000-000079090000}"/>
    <cellStyle name="_신태백(가실행)_창원상수도(토목)투찰_봉무지방산업단지도로(투찰)②_마현생창(동양고속)_왜관-태평건설" xfId="1409" xr:uid="{00000000-0005-0000-0000-00007A090000}"/>
    <cellStyle name="_신태백(가실행)_창원상수도(토목)투찰_봉무지방산업단지도로(투찰)②_마현생창(동양고속)_왜관-태평건설_예정공정표" xfId="1410" xr:uid="{00000000-0005-0000-0000-00007B090000}"/>
    <cellStyle name="_신태백(가실행)_창원상수도(토목)투찰_봉무지방산업단지도로(투찰)②_예정공정표" xfId="1411" xr:uid="{00000000-0005-0000-0000-00007C090000}"/>
    <cellStyle name="_신태백(가실행)_창원상수도(토목)투찰_봉무지방산업단지도로(투찰)②_왜관-태평건설" xfId="1412" xr:uid="{00000000-0005-0000-0000-00007D090000}"/>
    <cellStyle name="_신태백(가실행)_창원상수도(토목)투찰_봉무지방산업단지도로(투찰)②_왜관-태평건설_예정공정표" xfId="1413" xr:uid="{00000000-0005-0000-0000-00007E090000}"/>
    <cellStyle name="_신태백(가실행)_창원상수도(토목)투찰_봉무지방산업단지도로(투찰)②+0.250%" xfId="1414" xr:uid="{00000000-0005-0000-0000-00007F090000}"/>
    <cellStyle name="_신태백(가실행)_창원상수도(토목)투찰_봉무지방산업단지도로(투찰)②+0.250%_마현생창(동양고속)" xfId="1415" xr:uid="{00000000-0005-0000-0000-000080090000}"/>
    <cellStyle name="_신태백(가실행)_창원상수도(토목)투찰_봉무지방산업단지도로(투찰)②+0.250%_마현생창(동양고속)_예정공정표" xfId="1416" xr:uid="{00000000-0005-0000-0000-000081090000}"/>
    <cellStyle name="_신태백(가실행)_창원상수도(토목)투찰_봉무지방산업단지도로(투찰)②+0.250%_마현생창(동양고속)_왜관-태평건설" xfId="1417" xr:uid="{00000000-0005-0000-0000-000082090000}"/>
    <cellStyle name="_신태백(가실행)_창원상수도(토목)투찰_봉무지방산업단지도로(투찰)②+0.250%_마현생창(동양고속)_왜관-태평건설_예정공정표" xfId="1418" xr:uid="{00000000-0005-0000-0000-000083090000}"/>
    <cellStyle name="_신태백(가실행)_창원상수도(토목)투찰_봉무지방산업단지도로(투찰)②+0.250%_예정공정표" xfId="1419" xr:uid="{00000000-0005-0000-0000-000084090000}"/>
    <cellStyle name="_신태백(가실행)_창원상수도(토목)투찰_봉무지방산업단지도로(투찰)②+0.250%_왜관-태평건설" xfId="1420" xr:uid="{00000000-0005-0000-0000-000085090000}"/>
    <cellStyle name="_신태백(가실행)_창원상수도(토목)투찰_봉무지방산업단지도로(투찰)②+0.250%_왜관-태평건설_예정공정표" xfId="1421" xr:uid="{00000000-0005-0000-0000-000086090000}"/>
    <cellStyle name="_신태백(가실행)_창원상수도(토목)투찰_예정공정표" xfId="1422" xr:uid="{00000000-0005-0000-0000-000087090000}"/>
    <cellStyle name="_신태백(가실행)_창원상수도(토목)투찰_왜관-태평건설" xfId="1423" xr:uid="{00000000-0005-0000-0000-000088090000}"/>
    <cellStyle name="_신태백(가실행)_창원상수도(토목)투찰_왜관-태평건설_예정공정표" xfId="1424" xr:uid="{00000000-0005-0000-0000-000089090000}"/>
    <cellStyle name="_신태백(가실행)_창원상수도(토목)투찰_합덕-신례원(2공구)투찰" xfId="1425" xr:uid="{00000000-0005-0000-0000-00008A090000}"/>
    <cellStyle name="_신태백(가실행)_창원상수도(토목)투찰_합덕-신례원(2공구)투찰_경찰서-터미널간도로(투찰)②" xfId="1426" xr:uid="{00000000-0005-0000-0000-00008B090000}"/>
    <cellStyle name="_신태백(가실행)_창원상수도(토목)투찰_합덕-신례원(2공구)투찰_경찰서-터미널간도로(투찰)②_마현생창(동양고속)" xfId="1427" xr:uid="{00000000-0005-0000-0000-00008C090000}"/>
    <cellStyle name="_신태백(가실행)_창원상수도(토목)투찰_합덕-신례원(2공구)투찰_경찰서-터미널간도로(투찰)②_마현생창(동양고속)_예정공정표" xfId="1428" xr:uid="{00000000-0005-0000-0000-00008D090000}"/>
    <cellStyle name="_신태백(가실행)_창원상수도(토목)투찰_합덕-신례원(2공구)투찰_경찰서-터미널간도로(투찰)②_마현생창(동양고속)_왜관-태평건설" xfId="1429" xr:uid="{00000000-0005-0000-0000-00008E090000}"/>
    <cellStyle name="_신태백(가실행)_창원상수도(토목)투찰_합덕-신례원(2공구)투찰_경찰서-터미널간도로(투찰)②_마현생창(동양고속)_왜관-태평건설_예정공정표" xfId="1430" xr:uid="{00000000-0005-0000-0000-00008F090000}"/>
    <cellStyle name="_신태백(가실행)_창원상수도(토목)투찰_합덕-신례원(2공구)투찰_경찰서-터미널간도로(투찰)②_예정공정표" xfId="1431" xr:uid="{00000000-0005-0000-0000-000090090000}"/>
    <cellStyle name="_신태백(가실행)_창원상수도(토목)투찰_합덕-신례원(2공구)투찰_경찰서-터미널간도로(투찰)②_왜관-태평건설" xfId="1432" xr:uid="{00000000-0005-0000-0000-000091090000}"/>
    <cellStyle name="_신태백(가실행)_창원상수도(토목)투찰_합덕-신례원(2공구)투찰_경찰서-터미널간도로(투찰)②_왜관-태평건설_예정공정표" xfId="1433" xr:uid="{00000000-0005-0000-0000-000092090000}"/>
    <cellStyle name="_신태백(가실행)_창원상수도(토목)투찰_합덕-신례원(2공구)투찰_마현생창(동양고속)" xfId="1434" xr:uid="{00000000-0005-0000-0000-000093090000}"/>
    <cellStyle name="_신태백(가실행)_창원상수도(토목)투찰_합덕-신례원(2공구)투찰_마현생창(동양고속)_예정공정표" xfId="1435" xr:uid="{00000000-0005-0000-0000-000094090000}"/>
    <cellStyle name="_신태백(가실행)_창원상수도(토목)투찰_합덕-신례원(2공구)투찰_마현생창(동양고속)_왜관-태평건설" xfId="1436" xr:uid="{00000000-0005-0000-0000-000095090000}"/>
    <cellStyle name="_신태백(가실행)_창원상수도(토목)투찰_합덕-신례원(2공구)투찰_마현생창(동양고속)_왜관-태평건설_예정공정표" xfId="1437" xr:uid="{00000000-0005-0000-0000-000096090000}"/>
    <cellStyle name="_신태백(가실행)_창원상수도(토목)투찰_합덕-신례원(2공구)투찰_봉무지방산업단지도로(투찰)②" xfId="1438" xr:uid="{00000000-0005-0000-0000-000097090000}"/>
    <cellStyle name="_신태백(가실행)_창원상수도(토목)투찰_합덕-신례원(2공구)투찰_봉무지방산업단지도로(투찰)②_마현생창(동양고속)" xfId="1439" xr:uid="{00000000-0005-0000-0000-000098090000}"/>
    <cellStyle name="_신태백(가실행)_창원상수도(토목)투찰_합덕-신례원(2공구)투찰_봉무지방산업단지도로(투찰)②_마현생창(동양고속)_예정공정표" xfId="1440" xr:uid="{00000000-0005-0000-0000-000099090000}"/>
    <cellStyle name="_신태백(가실행)_창원상수도(토목)투찰_합덕-신례원(2공구)투찰_봉무지방산업단지도로(투찰)②_마현생창(동양고속)_왜관-태평건설" xfId="1441" xr:uid="{00000000-0005-0000-0000-00009A090000}"/>
    <cellStyle name="_신태백(가실행)_창원상수도(토목)투찰_합덕-신례원(2공구)투찰_봉무지방산업단지도로(투찰)②_마현생창(동양고속)_왜관-태평건설_예정공정표" xfId="1442" xr:uid="{00000000-0005-0000-0000-00009B090000}"/>
    <cellStyle name="_신태백(가실행)_창원상수도(토목)투찰_합덕-신례원(2공구)투찰_봉무지방산업단지도로(투찰)②_예정공정표" xfId="1443" xr:uid="{00000000-0005-0000-0000-00009C090000}"/>
    <cellStyle name="_신태백(가실행)_창원상수도(토목)투찰_합덕-신례원(2공구)투찰_봉무지방산업단지도로(투찰)②_왜관-태평건설" xfId="1444" xr:uid="{00000000-0005-0000-0000-00009D090000}"/>
    <cellStyle name="_신태백(가실행)_창원상수도(토목)투찰_합덕-신례원(2공구)투찰_봉무지방산업단지도로(투찰)②_왜관-태평건설_예정공정표" xfId="1445" xr:uid="{00000000-0005-0000-0000-00009E090000}"/>
    <cellStyle name="_신태백(가실행)_창원상수도(토목)투찰_합덕-신례원(2공구)투찰_봉무지방산업단지도로(투찰)②+0.250%" xfId="1446" xr:uid="{00000000-0005-0000-0000-00009F090000}"/>
    <cellStyle name="_신태백(가실행)_창원상수도(토목)투찰_합덕-신례원(2공구)투찰_봉무지방산업단지도로(투찰)②+0.250%_마현생창(동양고속)" xfId="1447" xr:uid="{00000000-0005-0000-0000-0000A0090000}"/>
    <cellStyle name="_신태백(가실행)_창원상수도(토목)투찰_합덕-신례원(2공구)투찰_봉무지방산업단지도로(투찰)②+0.250%_마현생창(동양고속)_예정공정표" xfId="1448" xr:uid="{00000000-0005-0000-0000-0000A1090000}"/>
    <cellStyle name="_신태백(가실행)_창원상수도(토목)투찰_합덕-신례원(2공구)투찰_봉무지방산업단지도로(투찰)②+0.250%_마현생창(동양고속)_왜관-태평건설" xfId="1449" xr:uid="{00000000-0005-0000-0000-0000A2090000}"/>
    <cellStyle name="_신태백(가실행)_창원상수도(토목)투찰_합덕-신례원(2공구)투찰_봉무지방산업단지도로(투찰)②+0.250%_마현생창(동양고속)_왜관-태평건설_예정공정표" xfId="1450" xr:uid="{00000000-0005-0000-0000-0000A3090000}"/>
    <cellStyle name="_신태백(가실행)_창원상수도(토목)투찰_합덕-신례원(2공구)투찰_봉무지방산업단지도로(투찰)②+0.250%_예정공정표" xfId="1451" xr:uid="{00000000-0005-0000-0000-0000A4090000}"/>
    <cellStyle name="_신태백(가실행)_창원상수도(토목)투찰_합덕-신례원(2공구)투찰_봉무지방산업단지도로(투찰)②+0.250%_왜관-태평건설" xfId="1452" xr:uid="{00000000-0005-0000-0000-0000A5090000}"/>
    <cellStyle name="_신태백(가실행)_창원상수도(토목)투찰_합덕-신례원(2공구)투찰_봉무지방산업단지도로(투찰)②+0.250%_왜관-태평건설_예정공정표" xfId="1453" xr:uid="{00000000-0005-0000-0000-0000A6090000}"/>
    <cellStyle name="_신태백(가실행)_창원상수도(토목)투찰_합덕-신례원(2공구)투찰_예정공정표" xfId="1454" xr:uid="{00000000-0005-0000-0000-0000A7090000}"/>
    <cellStyle name="_신태백(가실행)_창원상수도(토목)투찰_합덕-신례원(2공구)투찰_왜관-태평건설" xfId="1455" xr:uid="{00000000-0005-0000-0000-0000A8090000}"/>
    <cellStyle name="_신태백(가실행)_창원상수도(토목)투찰_합덕-신례원(2공구)투찰_왜관-태평건설_예정공정표" xfId="1456" xr:uid="{00000000-0005-0000-0000-0000A9090000}"/>
    <cellStyle name="_신태백(가실행)_창원상수도(토목)투찰_합덕-신례원(2공구)투찰_합덕-신례원(2공구)투찰" xfId="1457" xr:uid="{00000000-0005-0000-0000-0000AA090000}"/>
    <cellStyle name="_신태백(가실행)_창원상수도(토목)투찰_합덕-신례원(2공구)투찰_합덕-신례원(2공구)투찰_경찰서-터미널간도로(투찰)②" xfId="1458" xr:uid="{00000000-0005-0000-0000-0000AB090000}"/>
    <cellStyle name="_신태백(가실행)_창원상수도(토목)투찰_합덕-신례원(2공구)투찰_합덕-신례원(2공구)투찰_경찰서-터미널간도로(투찰)②_마현생창(동양고속)" xfId="1459" xr:uid="{00000000-0005-0000-0000-0000AC090000}"/>
    <cellStyle name="_신태백(가실행)_창원상수도(토목)투찰_합덕-신례원(2공구)투찰_합덕-신례원(2공구)투찰_경찰서-터미널간도로(투찰)②_마현생창(동양고속)_예정공정표" xfId="1460" xr:uid="{00000000-0005-0000-0000-0000AD090000}"/>
    <cellStyle name="_신태백(가실행)_창원상수도(토목)투찰_합덕-신례원(2공구)투찰_합덕-신례원(2공구)투찰_경찰서-터미널간도로(투찰)②_마현생창(동양고속)_왜관-태평건설" xfId="1461" xr:uid="{00000000-0005-0000-0000-0000AE090000}"/>
    <cellStyle name="_신태백(가실행)_창원상수도(토목)투찰_합덕-신례원(2공구)투찰_합덕-신례원(2공구)투찰_경찰서-터미널간도로(투찰)②_마현생창(동양고속)_왜관-태평건설_예정공정표" xfId="1462" xr:uid="{00000000-0005-0000-0000-0000AF090000}"/>
    <cellStyle name="_신태백(가실행)_창원상수도(토목)투찰_합덕-신례원(2공구)투찰_합덕-신례원(2공구)투찰_경찰서-터미널간도로(투찰)②_예정공정표" xfId="1463" xr:uid="{00000000-0005-0000-0000-0000B0090000}"/>
    <cellStyle name="_신태백(가실행)_창원상수도(토목)투찰_합덕-신례원(2공구)투찰_합덕-신례원(2공구)투찰_경찰서-터미널간도로(투찰)②_왜관-태평건설" xfId="1464" xr:uid="{00000000-0005-0000-0000-0000B1090000}"/>
    <cellStyle name="_신태백(가실행)_창원상수도(토목)투찰_합덕-신례원(2공구)투찰_합덕-신례원(2공구)투찰_경찰서-터미널간도로(투찰)②_왜관-태평건설_예정공정표" xfId="1465" xr:uid="{00000000-0005-0000-0000-0000B2090000}"/>
    <cellStyle name="_신태백(가실행)_창원상수도(토목)투찰_합덕-신례원(2공구)투찰_합덕-신례원(2공구)투찰_마현생창(동양고속)" xfId="1466" xr:uid="{00000000-0005-0000-0000-0000B3090000}"/>
    <cellStyle name="_신태백(가실행)_창원상수도(토목)투찰_합덕-신례원(2공구)투찰_합덕-신례원(2공구)투찰_마현생창(동양고속)_예정공정표" xfId="1467" xr:uid="{00000000-0005-0000-0000-0000B4090000}"/>
    <cellStyle name="_신태백(가실행)_창원상수도(토목)투찰_합덕-신례원(2공구)투찰_합덕-신례원(2공구)투찰_마현생창(동양고속)_왜관-태평건설" xfId="1468" xr:uid="{00000000-0005-0000-0000-0000B5090000}"/>
    <cellStyle name="_신태백(가실행)_창원상수도(토목)투찰_합덕-신례원(2공구)투찰_합덕-신례원(2공구)투찰_마현생창(동양고속)_왜관-태평건설_예정공정표" xfId="1469" xr:uid="{00000000-0005-0000-0000-0000B6090000}"/>
    <cellStyle name="_신태백(가실행)_창원상수도(토목)투찰_합덕-신례원(2공구)투찰_합덕-신례원(2공구)투찰_봉무지방산업단지도로(투찰)②" xfId="1470" xr:uid="{00000000-0005-0000-0000-0000B7090000}"/>
    <cellStyle name="_신태백(가실행)_창원상수도(토목)투찰_합덕-신례원(2공구)투찰_합덕-신례원(2공구)투찰_봉무지방산업단지도로(투찰)②_마현생창(동양고속)" xfId="1471" xr:uid="{00000000-0005-0000-0000-0000B8090000}"/>
    <cellStyle name="_신태백(가실행)_창원상수도(토목)투찰_합덕-신례원(2공구)투찰_합덕-신례원(2공구)투찰_봉무지방산업단지도로(투찰)②_마현생창(동양고속)_예정공정표" xfId="1472" xr:uid="{00000000-0005-0000-0000-0000B9090000}"/>
    <cellStyle name="_신태백(가실행)_창원상수도(토목)투찰_합덕-신례원(2공구)투찰_합덕-신례원(2공구)투찰_봉무지방산업단지도로(투찰)②_마현생창(동양고속)_왜관-태평건설" xfId="1473" xr:uid="{00000000-0005-0000-0000-0000BA090000}"/>
    <cellStyle name="_신태백(가실행)_창원상수도(토목)투찰_합덕-신례원(2공구)투찰_합덕-신례원(2공구)투찰_봉무지방산업단지도로(투찰)②_마현생창(동양고속)_왜관-태평건설_예정공정표" xfId="1474" xr:uid="{00000000-0005-0000-0000-0000BB090000}"/>
    <cellStyle name="_신태백(가실행)_창원상수도(토목)투찰_합덕-신례원(2공구)투찰_합덕-신례원(2공구)투찰_봉무지방산업단지도로(투찰)②_예정공정표" xfId="1475" xr:uid="{00000000-0005-0000-0000-0000BC090000}"/>
    <cellStyle name="_신태백(가실행)_창원상수도(토목)투찰_합덕-신례원(2공구)투찰_합덕-신례원(2공구)투찰_봉무지방산업단지도로(투찰)②_왜관-태평건설" xfId="1476" xr:uid="{00000000-0005-0000-0000-0000BD090000}"/>
    <cellStyle name="_신태백(가실행)_창원상수도(토목)투찰_합덕-신례원(2공구)투찰_합덕-신례원(2공구)투찰_봉무지방산업단지도로(투찰)②_왜관-태평건설_예정공정표" xfId="1477" xr:uid="{00000000-0005-0000-0000-0000BE090000}"/>
    <cellStyle name="_신태백(가실행)_창원상수도(토목)투찰_합덕-신례원(2공구)투찰_합덕-신례원(2공구)투찰_봉무지방산업단지도로(투찰)②+0.250%" xfId="1478" xr:uid="{00000000-0005-0000-0000-0000BF090000}"/>
    <cellStyle name="_신태백(가실행)_창원상수도(토목)투찰_합덕-신례원(2공구)투찰_합덕-신례원(2공구)투찰_봉무지방산업단지도로(투찰)②+0.250%_마현생창(동양고속)" xfId="1479" xr:uid="{00000000-0005-0000-0000-0000C0090000}"/>
    <cellStyle name="_신태백(가실행)_창원상수도(토목)투찰_합덕-신례원(2공구)투찰_합덕-신례원(2공구)투찰_봉무지방산업단지도로(투찰)②+0.250%_마현생창(동양고속)_예정공정표" xfId="1480" xr:uid="{00000000-0005-0000-0000-0000C1090000}"/>
    <cellStyle name="_신태백(가실행)_창원상수도(토목)투찰_합덕-신례원(2공구)투찰_합덕-신례원(2공구)투찰_봉무지방산업단지도로(투찰)②+0.250%_마현생창(동양고속)_왜관-태평건설" xfId="1481" xr:uid="{00000000-0005-0000-0000-0000C2090000}"/>
    <cellStyle name="_신태백(가실행)_창원상수도(토목)투찰_합덕-신례원(2공구)투찰_합덕-신례원(2공구)투찰_봉무지방산업단지도로(투찰)②+0.250%_마현생창(동양고속)_왜관-태평건설_예정공정표" xfId="1482" xr:uid="{00000000-0005-0000-0000-0000C3090000}"/>
    <cellStyle name="_신태백(가실행)_창원상수도(토목)투찰_합덕-신례원(2공구)투찰_합덕-신례원(2공구)투찰_봉무지방산업단지도로(투찰)②+0.250%_예정공정표" xfId="1483" xr:uid="{00000000-0005-0000-0000-0000C4090000}"/>
    <cellStyle name="_신태백(가실행)_창원상수도(토목)투찰_합덕-신례원(2공구)투찰_합덕-신례원(2공구)투찰_봉무지방산업단지도로(투찰)②+0.250%_왜관-태평건설" xfId="1484" xr:uid="{00000000-0005-0000-0000-0000C5090000}"/>
    <cellStyle name="_신태백(가실행)_창원상수도(토목)투찰_합덕-신례원(2공구)투찰_합덕-신례원(2공구)투찰_봉무지방산업단지도로(투찰)②+0.250%_왜관-태평건설_예정공정표" xfId="1485" xr:uid="{00000000-0005-0000-0000-0000C6090000}"/>
    <cellStyle name="_신태백(가실행)_창원상수도(토목)투찰_합덕-신례원(2공구)투찰_합덕-신례원(2공구)투찰_예정공정표" xfId="1486" xr:uid="{00000000-0005-0000-0000-0000C7090000}"/>
    <cellStyle name="_신태백(가실행)_창원상수도(토목)투찰_합덕-신례원(2공구)투찰_합덕-신례원(2공구)투찰_왜관-태평건설" xfId="1487" xr:uid="{00000000-0005-0000-0000-0000C8090000}"/>
    <cellStyle name="_신태백(가실행)_창원상수도(토목)투찰_합덕-신례원(2공구)투찰_합덕-신례원(2공구)투찰_왜관-태평건설_예정공정표" xfId="1488" xr:uid="{00000000-0005-0000-0000-0000C9090000}"/>
    <cellStyle name="_신태백(가실행)_합덕-신례원(2공구)투찰" xfId="1489" xr:uid="{00000000-0005-0000-0000-0000CA090000}"/>
    <cellStyle name="_신태백(가실행)_합덕-신례원(2공구)투찰_경찰서-터미널간도로(투찰)②" xfId="1490" xr:uid="{00000000-0005-0000-0000-0000CB090000}"/>
    <cellStyle name="_신태백(가실행)_합덕-신례원(2공구)투찰_경찰서-터미널간도로(투찰)②_마현생창(동양고속)" xfId="1491" xr:uid="{00000000-0005-0000-0000-0000CC090000}"/>
    <cellStyle name="_신태백(가실행)_합덕-신례원(2공구)투찰_경찰서-터미널간도로(투찰)②_마현생창(동양고속)_예정공정표" xfId="1492" xr:uid="{00000000-0005-0000-0000-0000CD090000}"/>
    <cellStyle name="_신태백(가실행)_합덕-신례원(2공구)투찰_경찰서-터미널간도로(투찰)②_마현생창(동양고속)_왜관-태평건설" xfId="1493" xr:uid="{00000000-0005-0000-0000-0000CE090000}"/>
    <cellStyle name="_신태백(가실행)_합덕-신례원(2공구)투찰_경찰서-터미널간도로(투찰)②_마현생창(동양고속)_왜관-태평건설_예정공정표" xfId="1494" xr:uid="{00000000-0005-0000-0000-0000CF090000}"/>
    <cellStyle name="_신태백(가실행)_합덕-신례원(2공구)투찰_경찰서-터미널간도로(투찰)②_예정공정표" xfId="1495" xr:uid="{00000000-0005-0000-0000-0000D0090000}"/>
    <cellStyle name="_신태백(가실행)_합덕-신례원(2공구)투찰_경찰서-터미널간도로(투찰)②_왜관-태평건설" xfId="1496" xr:uid="{00000000-0005-0000-0000-0000D1090000}"/>
    <cellStyle name="_신태백(가실행)_합덕-신례원(2공구)투찰_경찰서-터미널간도로(투찰)②_왜관-태평건설_예정공정표" xfId="1497" xr:uid="{00000000-0005-0000-0000-0000D2090000}"/>
    <cellStyle name="_신태백(가실행)_합덕-신례원(2공구)투찰_마현생창(동양고속)" xfId="1498" xr:uid="{00000000-0005-0000-0000-0000D3090000}"/>
    <cellStyle name="_신태백(가실행)_합덕-신례원(2공구)투찰_마현생창(동양고속)_예정공정표" xfId="1499" xr:uid="{00000000-0005-0000-0000-0000D4090000}"/>
    <cellStyle name="_신태백(가실행)_합덕-신례원(2공구)투찰_마현생창(동양고속)_왜관-태평건설" xfId="1500" xr:uid="{00000000-0005-0000-0000-0000D5090000}"/>
    <cellStyle name="_신태백(가실행)_합덕-신례원(2공구)투찰_마현생창(동양고속)_왜관-태평건설_예정공정표" xfId="1501" xr:uid="{00000000-0005-0000-0000-0000D6090000}"/>
    <cellStyle name="_신태백(가실행)_합덕-신례원(2공구)투찰_봉무지방산업단지도로(투찰)②" xfId="1502" xr:uid="{00000000-0005-0000-0000-0000D7090000}"/>
    <cellStyle name="_신태백(가실행)_합덕-신례원(2공구)투찰_봉무지방산업단지도로(투찰)②_마현생창(동양고속)" xfId="1503" xr:uid="{00000000-0005-0000-0000-0000D8090000}"/>
    <cellStyle name="_신태백(가실행)_합덕-신례원(2공구)투찰_봉무지방산업단지도로(투찰)②_마현생창(동양고속)_예정공정표" xfId="1504" xr:uid="{00000000-0005-0000-0000-0000D9090000}"/>
    <cellStyle name="_신태백(가실행)_합덕-신례원(2공구)투찰_봉무지방산업단지도로(투찰)②_마현생창(동양고속)_왜관-태평건설" xfId="1505" xr:uid="{00000000-0005-0000-0000-0000DA090000}"/>
    <cellStyle name="_신태백(가실행)_합덕-신례원(2공구)투찰_봉무지방산업단지도로(투찰)②_마현생창(동양고속)_왜관-태평건설_예정공정표" xfId="1506" xr:uid="{00000000-0005-0000-0000-0000DB090000}"/>
    <cellStyle name="_신태백(가실행)_합덕-신례원(2공구)투찰_봉무지방산업단지도로(투찰)②_예정공정표" xfId="1507" xr:uid="{00000000-0005-0000-0000-0000DC090000}"/>
    <cellStyle name="_신태백(가실행)_합덕-신례원(2공구)투찰_봉무지방산업단지도로(투찰)②_왜관-태평건설" xfId="1508" xr:uid="{00000000-0005-0000-0000-0000DD090000}"/>
    <cellStyle name="_신태백(가실행)_합덕-신례원(2공구)투찰_봉무지방산업단지도로(투찰)②_왜관-태평건설_예정공정표" xfId="1509" xr:uid="{00000000-0005-0000-0000-0000DE090000}"/>
    <cellStyle name="_신태백(가실행)_합덕-신례원(2공구)투찰_봉무지방산업단지도로(투찰)②+0.250%" xfId="1510" xr:uid="{00000000-0005-0000-0000-0000DF090000}"/>
    <cellStyle name="_신태백(가실행)_합덕-신례원(2공구)투찰_봉무지방산업단지도로(투찰)②+0.250%_마현생창(동양고속)" xfId="1511" xr:uid="{00000000-0005-0000-0000-0000E0090000}"/>
    <cellStyle name="_신태백(가실행)_합덕-신례원(2공구)투찰_봉무지방산업단지도로(투찰)②+0.250%_마현생창(동양고속)_예정공정표" xfId="1512" xr:uid="{00000000-0005-0000-0000-0000E1090000}"/>
    <cellStyle name="_신태백(가실행)_합덕-신례원(2공구)투찰_봉무지방산업단지도로(투찰)②+0.250%_마현생창(동양고속)_왜관-태평건설" xfId="1513" xr:uid="{00000000-0005-0000-0000-0000E2090000}"/>
    <cellStyle name="_신태백(가실행)_합덕-신례원(2공구)투찰_봉무지방산업단지도로(투찰)②+0.250%_마현생창(동양고속)_왜관-태평건설_예정공정표" xfId="1514" xr:uid="{00000000-0005-0000-0000-0000E3090000}"/>
    <cellStyle name="_신태백(가실행)_합덕-신례원(2공구)투찰_봉무지방산업단지도로(투찰)②+0.250%_예정공정표" xfId="1515" xr:uid="{00000000-0005-0000-0000-0000E4090000}"/>
    <cellStyle name="_신태백(가실행)_합덕-신례원(2공구)투찰_봉무지방산업단지도로(투찰)②+0.250%_왜관-태평건설" xfId="1516" xr:uid="{00000000-0005-0000-0000-0000E5090000}"/>
    <cellStyle name="_신태백(가실행)_합덕-신례원(2공구)투찰_봉무지방산업단지도로(투찰)②+0.250%_왜관-태평건설_예정공정표" xfId="1517" xr:uid="{00000000-0005-0000-0000-0000E6090000}"/>
    <cellStyle name="_신태백(가실행)_합덕-신례원(2공구)투찰_예정공정표" xfId="1518" xr:uid="{00000000-0005-0000-0000-0000E7090000}"/>
    <cellStyle name="_신태백(가실행)_합덕-신례원(2공구)투찰_왜관-태평건설" xfId="1519" xr:uid="{00000000-0005-0000-0000-0000E8090000}"/>
    <cellStyle name="_신태백(가실행)_합덕-신례원(2공구)투찰_왜관-태평건설_예정공정표" xfId="1520" xr:uid="{00000000-0005-0000-0000-0000E9090000}"/>
    <cellStyle name="_신태백(가실행)_합덕-신례원(2공구)투찰_합덕-신례원(2공구)투찰" xfId="1521" xr:uid="{00000000-0005-0000-0000-0000EA090000}"/>
    <cellStyle name="_신태백(가실행)_합덕-신례원(2공구)투찰_합덕-신례원(2공구)투찰_경찰서-터미널간도로(투찰)②" xfId="1522" xr:uid="{00000000-0005-0000-0000-0000EB090000}"/>
    <cellStyle name="_신태백(가실행)_합덕-신례원(2공구)투찰_합덕-신례원(2공구)투찰_경찰서-터미널간도로(투찰)②_마현생창(동양고속)" xfId="1523" xr:uid="{00000000-0005-0000-0000-0000EC090000}"/>
    <cellStyle name="_신태백(가실행)_합덕-신례원(2공구)투찰_합덕-신례원(2공구)투찰_경찰서-터미널간도로(투찰)②_마현생창(동양고속)_예정공정표" xfId="1524" xr:uid="{00000000-0005-0000-0000-0000ED090000}"/>
    <cellStyle name="_신태백(가실행)_합덕-신례원(2공구)투찰_합덕-신례원(2공구)투찰_경찰서-터미널간도로(투찰)②_마현생창(동양고속)_왜관-태평건설" xfId="1525" xr:uid="{00000000-0005-0000-0000-0000EE090000}"/>
    <cellStyle name="_신태백(가실행)_합덕-신례원(2공구)투찰_합덕-신례원(2공구)투찰_경찰서-터미널간도로(투찰)②_마현생창(동양고속)_왜관-태평건설_예정공정표" xfId="1526" xr:uid="{00000000-0005-0000-0000-0000EF090000}"/>
    <cellStyle name="_신태백(가실행)_합덕-신례원(2공구)투찰_합덕-신례원(2공구)투찰_경찰서-터미널간도로(투찰)②_예정공정표" xfId="1527" xr:uid="{00000000-0005-0000-0000-0000F0090000}"/>
    <cellStyle name="_신태백(가실행)_합덕-신례원(2공구)투찰_합덕-신례원(2공구)투찰_경찰서-터미널간도로(투찰)②_왜관-태평건설" xfId="1528" xr:uid="{00000000-0005-0000-0000-0000F1090000}"/>
    <cellStyle name="_신태백(가실행)_합덕-신례원(2공구)투찰_합덕-신례원(2공구)투찰_경찰서-터미널간도로(투찰)②_왜관-태평건설_예정공정표" xfId="1529" xr:uid="{00000000-0005-0000-0000-0000F2090000}"/>
    <cellStyle name="_신태백(가실행)_합덕-신례원(2공구)투찰_합덕-신례원(2공구)투찰_마현생창(동양고속)" xfId="1530" xr:uid="{00000000-0005-0000-0000-0000F3090000}"/>
    <cellStyle name="_신태백(가실행)_합덕-신례원(2공구)투찰_합덕-신례원(2공구)투찰_마현생창(동양고속)_예정공정표" xfId="1531" xr:uid="{00000000-0005-0000-0000-0000F4090000}"/>
    <cellStyle name="_신태백(가실행)_합덕-신례원(2공구)투찰_합덕-신례원(2공구)투찰_마현생창(동양고속)_왜관-태평건설" xfId="1532" xr:uid="{00000000-0005-0000-0000-0000F5090000}"/>
    <cellStyle name="_신태백(가실행)_합덕-신례원(2공구)투찰_합덕-신례원(2공구)투찰_마현생창(동양고속)_왜관-태평건설_예정공정표" xfId="1533" xr:uid="{00000000-0005-0000-0000-0000F6090000}"/>
    <cellStyle name="_신태백(가실행)_합덕-신례원(2공구)투찰_합덕-신례원(2공구)투찰_봉무지방산업단지도로(투찰)②" xfId="1534" xr:uid="{00000000-0005-0000-0000-0000F7090000}"/>
    <cellStyle name="_신태백(가실행)_합덕-신례원(2공구)투찰_합덕-신례원(2공구)투찰_봉무지방산업단지도로(투찰)②_마현생창(동양고속)" xfId="1535" xr:uid="{00000000-0005-0000-0000-0000F8090000}"/>
    <cellStyle name="_신태백(가실행)_합덕-신례원(2공구)투찰_합덕-신례원(2공구)투찰_봉무지방산업단지도로(투찰)②_마현생창(동양고속)_예정공정표" xfId="1536" xr:uid="{00000000-0005-0000-0000-0000F9090000}"/>
    <cellStyle name="_신태백(가실행)_합덕-신례원(2공구)투찰_합덕-신례원(2공구)투찰_봉무지방산업단지도로(투찰)②_마현생창(동양고속)_왜관-태평건설" xfId="1537" xr:uid="{00000000-0005-0000-0000-0000FA090000}"/>
    <cellStyle name="_신태백(가실행)_합덕-신례원(2공구)투찰_합덕-신례원(2공구)투찰_봉무지방산업단지도로(투찰)②_마현생창(동양고속)_왜관-태평건설_예정공정표" xfId="1538" xr:uid="{00000000-0005-0000-0000-0000FB090000}"/>
    <cellStyle name="_신태백(가실행)_합덕-신례원(2공구)투찰_합덕-신례원(2공구)투찰_봉무지방산업단지도로(투찰)②_예정공정표" xfId="1539" xr:uid="{00000000-0005-0000-0000-0000FC090000}"/>
    <cellStyle name="_신태백(가실행)_합덕-신례원(2공구)투찰_합덕-신례원(2공구)투찰_봉무지방산업단지도로(투찰)②_왜관-태평건설" xfId="1540" xr:uid="{00000000-0005-0000-0000-0000FD090000}"/>
    <cellStyle name="_신태백(가실행)_합덕-신례원(2공구)투찰_합덕-신례원(2공구)투찰_봉무지방산업단지도로(투찰)②_왜관-태평건설_예정공정표" xfId="1541" xr:uid="{00000000-0005-0000-0000-0000FE090000}"/>
    <cellStyle name="_신태백(가실행)_합덕-신례원(2공구)투찰_합덕-신례원(2공구)투찰_봉무지방산업단지도로(투찰)②+0.250%" xfId="1542" xr:uid="{00000000-0005-0000-0000-0000FF090000}"/>
    <cellStyle name="_신태백(가실행)_합덕-신례원(2공구)투찰_합덕-신례원(2공구)투찰_봉무지방산업단지도로(투찰)②+0.250%_마현생창(동양고속)" xfId="1543" xr:uid="{00000000-0005-0000-0000-0000000A0000}"/>
    <cellStyle name="_신태백(가실행)_합덕-신례원(2공구)투찰_합덕-신례원(2공구)투찰_봉무지방산업단지도로(투찰)②+0.250%_마현생창(동양고속)_예정공정표" xfId="1544" xr:uid="{00000000-0005-0000-0000-0000010A0000}"/>
    <cellStyle name="_신태백(가실행)_합덕-신례원(2공구)투찰_합덕-신례원(2공구)투찰_봉무지방산업단지도로(투찰)②+0.250%_마현생창(동양고속)_왜관-태평건설" xfId="1545" xr:uid="{00000000-0005-0000-0000-0000020A0000}"/>
    <cellStyle name="_신태백(가실행)_합덕-신례원(2공구)투찰_합덕-신례원(2공구)투찰_봉무지방산업단지도로(투찰)②+0.250%_마현생창(동양고속)_왜관-태평건설_예정공정표" xfId="1546" xr:uid="{00000000-0005-0000-0000-0000030A0000}"/>
    <cellStyle name="_신태백(가실행)_합덕-신례원(2공구)투찰_합덕-신례원(2공구)투찰_봉무지방산업단지도로(투찰)②+0.250%_예정공정표" xfId="1547" xr:uid="{00000000-0005-0000-0000-0000040A0000}"/>
    <cellStyle name="_신태백(가실행)_합덕-신례원(2공구)투찰_합덕-신례원(2공구)투찰_봉무지방산업단지도로(투찰)②+0.250%_왜관-태평건설" xfId="1548" xr:uid="{00000000-0005-0000-0000-0000050A0000}"/>
    <cellStyle name="_신태백(가실행)_합덕-신례원(2공구)투찰_합덕-신례원(2공구)투찰_봉무지방산업단지도로(투찰)②+0.250%_왜관-태평건설_예정공정표" xfId="1549" xr:uid="{00000000-0005-0000-0000-0000060A0000}"/>
    <cellStyle name="_신태백(가실행)_합덕-신례원(2공구)투찰_합덕-신례원(2공구)투찰_예정공정표" xfId="1550" xr:uid="{00000000-0005-0000-0000-0000070A0000}"/>
    <cellStyle name="_신태백(가실행)_합덕-신례원(2공구)투찰_합덕-신례원(2공구)투찰_왜관-태평건설" xfId="1551" xr:uid="{00000000-0005-0000-0000-0000080A0000}"/>
    <cellStyle name="_신태백(가실행)_합덕-신례원(2공구)투찰_합덕-신례원(2공구)투찰_왜관-태평건설_예정공정표" xfId="1552" xr:uid="{00000000-0005-0000-0000-0000090A0000}"/>
    <cellStyle name="_신태백(투찰내역)2" xfId="1553" xr:uid="{00000000-0005-0000-0000-00000A0A0000}"/>
    <cellStyle name="_신흥기업사-최종" xfId="3671" xr:uid="{00000000-0005-0000-0000-00000B0A0000}"/>
    <cellStyle name="_실시내역(전북대학교 박물관)-영상SW-060709" xfId="3672" xr:uid="{00000000-0005-0000-0000-00000C0A0000}"/>
    <cellStyle name="_실시내역(전북대학교 박물관)-정보SW-060709" xfId="3673" xr:uid="{00000000-0005-0000-0000-00000D0A0000}"/>
    <cellStyle name="_실시설계(031201)" xfId="3674" xr:uid="{00000000-0005-0000-0000-00000E0A0000}"/>
    <cellStyle name="_실시설계(040218)" xfId="3675" xr:uid="{00000000-0005-0000-0000-00000F0A0000}"/>
    <cellStyle name="_실시설계(040623)" xfId="3676" xr:uid="{00000000-0005-0000-0000-0000100A0000}"/>
    <cellStyle name="_실시설계(041229)" xfId="3677" xr:uid="{00000000-0005-0000-0000-0000110A0000}"/>
    <cellStyle name="_실시설계(051213)" xfId="3678" xr:uid="{00000000-0005-0000-0000-0000120A0000}"/>
    <cellStyle name="_실행견적" xfId="3679" xr:uid="{00000000-0005-0000-0000-0000130A0000}"/>
    <cellStyle name="_실행견적_1" xfId="3680" xr:uid="{00000000-0005-0000-0000-0000140A0000}"/>
    <cellStyle name="_실행견적1" xfId="3681" xr:uid="{00000000-0005-0000-0000-0000150A0000}"/>
    <cellStyle name="_실행양식견본" xfId="3682" xr:uid="{00000000-0005-0000-0000-0000160A0000}"/>
    <cellStyle name="_쌍촌동 부건아파트 신축 전기공사" xfId="3683" xr:uid="{00000000-0005-0000-0000-0000170A0000}"/>
    <cellStyle name="_안산부대(투찰)⑤" xfId="1554" xr:uid="{00000000-0005-0000-0000-0000180A0000}"/>
    <cellStyle name="_안산부대(투찰)⑤_경찰서-터미널간도로(투찰)②" xfId="1555" xr:uid="{00000000-0005-0000-0000-0000190A0000}"/>
    <cellStyle name="_안산부대(투찰)⑤_경찰서-터미널간도로(투찰)②_마현생창(동양고속)" xfId="1556" xr:uid="{00000000-0005-0000-0000-00001A0A0000}"/>
    <cellStyle name="_안산부대(투찰)⑤_경찰서-터미널간도로(투찰)②_마현생창(동양고속)_예정공정표" xfId="1557" xr:uid="{00000000-0005-0000-0000-00001B0A0000}"/>
    <cellStyle name="_안산부대(투찰)⑤_경찰서-터미널간도로(투찰)②_마현생창(동양고속)_왜관-태평건설" xfId="1558" xr:uid="{00000000-0005-0000-0000-00001C0A0000}"/>
    <cellStyle name="_안산부대(투찰)⑤_경찰서-터미널간도로(투찰)②_마현생창(동양고속)_왜관-태평건설_예정공정표" xfId="1559" xr:uid="{00000000-0005-0000-0000-00001D0A0000}"/>
    <cellStyle name="_안산부대(투찰)⑤_경찰서-터미널간도로(투찰)②_예정공정표" xfId="1560" xr:uid="{00000000-0005-0000-0000-00001E0A0000}"/>
    <cellStyle name="_안산부대(투찰)⑤_경찰서-터미널간도로(투찰)②_왜관-태평건설" xfId="1561" xr:uid="{00000000-0005-0000-0000-00001F0A0000}"/>
    <cellStyle name="_안산부대(투찰)⑤_경찰서-터미널간도로(투찰)②_왜관-태평건설_예정공정표" xfId="1562" xr:uid="{00000000-0005-0000-0000-0000200A0000}"/>
    <cellStyle name="_안산부대(투찰)⑤_마현생창(동양고속)" xfId="1563" xr:uid="{00000000-0005-0000-0000-0000210A0000}"/>
    <cellStyle name="_안산부대(투찰)⑤_마현생창(동양고속)_예정공정표" xfId="1564" xr:uid="{00000000-0005-0000-0000-0000220A0000}"/>
    <cellStyle name="_안산부대(투찰)⑤_마현생창(동양고속)_왜관-태평건설" xfId="1565" xr:uid="{00000000-0005-0000-0000-0000230A0000}"/>
    <cellStyle name="_안산부대(투찰)⑤_마현생창(동양고속)_왜관-태평건설_예정공정표" xfId="1566" xr:uid="{00000000-0005-0000-0000-0000240A0000}"/>
    <cellStyle name="_안산부대(투찰)⑤_봉무지방산업단지도로(투찰)②" xfId="1567" xr:uid="{00000000-0005-0000-0000-0000250A0000}"/>
    <cellStyle name="_안산부대(투찰)⑤_봉무지방산업단지도로(투찰)②_마현생창(동양고속)" xfId="1568" xr:uid="{00000000-0005-0000-0000-0000260A0000}"/>
    <cellStyle name="_안산부대(투찰)⑤_봉무지방산업단지도로(투찰)②_마현생창(동양고속)_예정공정표" xfId="1569" xr:uid="{00000000-0005-0000-0000-0000270A0000}"/>
    <cellStyle name="_안산부대(투찰)⑤_봉무지방산업단지도로(투찰)②_마현생창(동양고속)_왜관-태평건설" xfId="1570" xr:uid="{00000000-0005-0000-0000-0000280A0000}"/>
    <cellStyle name="_안산부대(투찰)⑤_봉무지방산업단지도로(투찰)②_마현생창(동양고속)_왜관-태평건설_예정공정표" xfId="1571" xr:uid="{00000000-0005-0000-0000-0000290A0000}"/>
    <cellStyle name="_안산부대(투찰)⑤_봉무지방산업단지도로(투찰)②_예정공정표" xfId="1572" xr:uid="{00000000-0005-0000-0000-00002A0A0000}"/>
    <cellStyle name="_안산부대(투찰)⑤_봉무지방산업단지도로(투찰)②_왜관-태평건설" xfId="1573" xr:uid="{00000000-0005-0000-0000-00002B0A0000}"/>
    <cellStyle name="_안산부대(투찰)⑤_봉무지방산업단지도로(투찰)②_왜관-태평건설_예정공정표" xfId="1574" xr:uid="{00000000-0005-0000-0000-00002C0A0000}"/>
    <cellStyle name="_안산부대(투찰)⑤_봉무지방산업단지도로(투찰)②+0.250%" xfId="1575" xr:uid="{00000000-0005-0000-0000-00002D0A0000}"/>
    <cellStyle name="_안산부대(투찰)⑤_봉무지방산업단지도로(투찰)②+0.250%_마현생창(동양고속)" xfId="1576" xr:uid="{00000000-0005-0000-0000-00002E0A0000}"/>
    <cellStyle name="_안산부대(투찰)⑤_봉무지방산업단지도로(투찰)②+0.250%_마현생창(동양고속)_예정공정표" xfId="1577" xr:uid="{00000000-0005-0000-0000-00002F0A0000}"/>
    <cellStyle name="_안산부대(투찰)⑤_봉무지방산업단지도로(투찰)②+0.250%_마현생창(동양고속)_왜관-태평건설" xfId="1578" xr:uid="{00000000-0005-0000-0000-0000300A0000}"/>
    <cellStyle name="_안산부대(투찰)⑤_봉무지방산업단지도로(투찰)②+0.250%_마현생창(동양고속)_왜관-태평건설_예정공정표" xfId="1579" xr:uid="{00000000-0005-0000-0000-0000310A0000}"/>
    <cellStyle name="_안산부대(투찰)⑤_봉무지방산업단지도로(투찰)②+0.250%_예정공정표" xfId="1580" xr:uid="{00000000-0005-0000-0000-0000320A0000}"/>
    <cellStyle name="_안산부대(투찰)⑤_봉무지방산업단지도로(투찰)②+0.250%_왜관-태평건설" xfId="1581" xr:uid="{00000000-0005-0000-0000-0000330A0000}"/>
    <cellStyle name="_안산부대(투찰)⑤_봉무지방산업단지도로(투찰)②+0.250%_왜관-태평건설_예정공정표" xfId="1582" xr:uid="{00000000-0005-0000-0000-0000340A0000}"/>
    <cellStyle name="_안산부대(투찰)⑤_예정공정표" xfId="1583" xr:uid="{00000000-0005-0000-0000-0000350A0000}"/>
    <cellStyle name="_안산부대(투찰)⑤_왜관-태평건설" xfId="1584" xr:uid="{00000000-0005-0000-0000-0000360A0000}"/>
    <cellStyle name="_안산부대(투찰)⑤_왜관-태평건설_예정공정표" xfId="1585" xr:uid="{00000000-0005-0000-0000-0000370A0000}"/>
    <cellStyle name="_안산부대(투찰)⑤_합덕-신례원(2공구)투찰" xfId="1586" xr:uid="{00000000-0005-0000-0000-0000380A0000}"/>
    <cellStyle name="_안산부대(투찰)⑤_합덕-신례원(2공구)투찰_경찰서-터미널간도로(투찰)②" xfId="1587" xr:uid="{00000000-0005-0000-0000-0000390A0000}"/>
    <cellStyle name="_안산부대(투찰)⑤_합덕-신례원(2공구)투찰_경찰서-터미널간도로(투찰)②_마현생창(동양고속)" xfId="1588" xr:uid="{00000000-0005-0000-0000-00003A0A0000}"/>
    <cellStyle name="_안산부대(투찰)⑤_합덕-신례원(2공구)투찰_경찰서-터미널간도로(투찰)②_마현생창(동양고속)_예정공정표" xfId="1589" xr:uid="{00000000-0005-0000-0000-00003B0A0000}"/>
    <cellStyle name="_안산부대(투찰)⑤_합덕-신례원(2공구)투찰_경찰서-터미널간도로(투찰)②_마현생창(동양고속)_왜관-태평건설" xfId="1590" xr:uid="{00000000-0005-0000-0000-00003C0A0000}"/>
    <cellStyle name="_안산부대(투찰)⑤_합덕-신례원(2공구)투찰_경찰서-터미널간도로(투찰)②_마현생창(동양고속)_왜관-태평건설_예정공정표" xfId="1591" xr:uid="{00000000-0005-0000-0000-00003D0A0000}"/>
    <cellStyle name="_안산부대(투찰)⑤_합덕-신례원(2공구)투찰_경찰서-터미널간도로(투찰)②_예정공정표" xfId="1592" xr:uid="{00000000-0005-0000-0000-00003E0A0000}"/>
    <cellStyle name="_안산부대(투찰)⑤_합덕-신례원(2공구)투찰_경찰서-터미널간도로(투찰)②_왜관-태평건설" xfId="1593" xr:uid="{00000000-0005-0000-0000-00003F0A0000}"/>
    <cellStyle name="_안산부대(투찰)⑤_합덕-신례원(2공구)투찰_경찰서-터미널간도로(투찰)②_왜관-태평건설_예정공정표" xfId="1594" xr:uid="{00000000-0005-0000-0000-0000400A0000}"/>
    <cellStyle name="_안산부대(투찰)⑤_합덕-신례원(2공구)투찰_마현생창(동양고속)" xfId="1595" xr:uid="{00000000-0005-0000-0000-0000410A0000}"/>
    <cellStyle name="_안산부대(투찰)⑤_합덕-신례원(2공구)투찰_마현생창(동양고속)_예정공정표" xfId="1596" xr:uid="{00000000-0005-0000-0000-0000420A0000}"/>
    <cellStyle name="_안산부대(투찰)⑤_합덕-신례원(2공구)투찰_마현생창(동양고속)_왜관-태평건설" xfId="1597" xr:uid="{00000000-0005-0000-0000-0000430A0000}"/>
    <cellStyle name="_안산부대(투찰)⑤_합덕-신례원(2공구)투찰_마현생창(동양고속)_왜관-태평건설_예정공정표" xfId="1598" xr:uid="{00000000-0005-0000-0000-0000440A0000}"/>
    <cellStyle name="_안산부대(투찰)⑤_합덕-신례원(2공구)투찰_봉무지방산업단지도로(투찰)②" xfId="1599" xr:uid="{00000000-0005-0000-0000-0000450A0000}"/>
    <cellStyle name="_안산부대(투찰)⑤_합덕-신례원(2공구)투찰_봉무지방산업단지도로(투찰)②_마현생창(동양고속)" xfId="1600" xr:uid="{00000000-0005-0000-0000-0000460A0000}"/>
    <cellStyle name="_안산부대(투찰)⑤_합덕-신례원(2공구)투찰_봉무지방산업단지도로(투찰)②_마현생창(동양고속)_예정공정표" xfId="1601" xr:uid="{00000000-0005-0000-0000-0000470A0000}"/>
    <cellStyle name="_안산부대(투찰)⑤_합덕-신례원(2공구)투찰_봉무지방산업단지도로(투찰)②_마현생창(동양고속)_왜관-태평건설" xfId="1602" xr:uid="{00000000-0005-0000-0000-0000480A0000}"/>
    <cellStyle name="_안산부대(투찰)⑤_합덕-신례원(2공구)투찰_봉무지방산업단지도로(투찰)②_마현생창(동양고속)_왜관-태평건설_예정공정표" xfId="1603" xr:uid="{00000000-0005-0000-0000-0000490A0000}"/>
    <cellStyle name="_안산부대(투찰)⑤_합덕-신례원(2공구)투찰_봉무지방산업단지도로(투찰)②_예정공정표" xfId="1604" xr:uid="{00000000-0005-0000-0000-00004A0A0000}"/>
    <cellStyle name="_안산부대(투찰)⑤_합덕-신례원(2공구)투찰_봉무지방산업단지도로(투찰)②_왜관-태평건설" xfId="1605" xr:uid="{00000000-0005-0000-0000-00004B0A0000}"/>
    <cellStyle name="_안산부대(투찰)⑤_합덕-신례원(2공구)투찰_봉무지방산업단지도로(투찰)②_왜관-태평건설_예정공정표" xfId="1606" xr:uid="{00000000-0005-0000-0000-00004C0A0000}"/>
    <cellStyle name="_안산부대(투찰)⑤_합덕-신례원(2공구)투찰_봉무지방산업단지도로(투찰)②+0.250%" xfId="1607" xr:uid="{00000000-0005-0000-0000-00004D0A0000}"/>
    <cellStyle name="_안산부대(투찰)⑤_합덕-신례원(2공구)투찰_봉무지방산업단지도로(투찰)②+0.250%_마현생창(동양고속)" xfId="1608" xr:uid="{00000000-0005-0000-0000-00004E0A0000}"/>
    <cellStyle name="_안산부대(투찰)⑤_합덕-신례원(2공구)투찰_봉무지방산업단지도로(투찰)②+0.250%_마현생창(동양고속)_예정공정표" xfId="1609" xr:uid="{00000000-0005-0000-0000-00004F0A0000}"/>
    <cellStyle name="_안산부대(투찰)⑤_합덕-신례원(2공구)투찰_봉무지방산업단지도로(투찰)②+0.250%_마현생창(동양고속)_왜관-태평건설" xfId="1610" xr:uid="{00000000-0005-0000-0000-0000500A0000}"/>
    <cellStyle name="_안산부대(투찰)⑤_합덕-신례원(2공구)투찰_봉무지방산업단지도로(투찰)②+0.250%_마현생창(동양고속)_왜관-태평건설_예정공정표" xfId="1611" xr:uid="{00000000-0005-0000-0000-0000510A0000}"/>
    <cellStyle name="_안산부대(투찰)⑤_합덕-신례원(2공구)투찰_봉무지방산업단지도로(투찰)②+0.250%_예정공정표" xfId="1612" xr:uid="{00000000-0005-0000-0000-0000520A0000}"/>
    <cellStyle name="_안산부대(투찰)⑤_합덕-신례원(2공구)투찰_봉무지방산업단지도로(투찰)②+0.250%_왜관-태평건설" xfId="1613" xr:uid="{00000000-0005-0000-0000-0000530A0000}"/>
    <cellStyle name="_안산부대(투찰)⑤_합덕-신례원(2공구)투찰_봉무지방산업단지도로(투찰)②+0.250%_왜관-태평건설_예정공정표" xfId="1614" xr:uid="{00000000-0005-0000-0000-0000540A0000}"/>
    <cellStyle name="_안산부대(투찰)⑤_합덕-신례원(2공구)투찰_예정공정표" xfId="1615" xr:uid="{00000000-0005-0000-0000-0000550A0000}"/>
    <cellStyle name="_안산부대(투찰)⑤_합덕-신례원(2공구)투찰_왜관-태평건설" xfId="1616" xr:uid="{00000000-0005-0000-0000-0000560A0000}"/>
    <cellStyle name="_안산부대(투찰)⑤_합덕-신례원(2공구)투찰_왜관-태평건설_예정공정표" xfId="1617" xr:uid="{00000000-0005-0000-0000-0000570A0000}"/>
    <cellStyle name="_안산부대(투찰)⑤_합덕-신례원(2공구)투찰_합덕-신례원(2공구)투찰" xfId="1618" xr:uid="{00000000-0005-0000-0000-0000580A0000}"/>
    <cellStyle name="_안산부대(투찰)⑤_합덕-신례원(2공구)투찰_합덕-신례원(2공구)투찰_경찰서-터미널간도로(투찰)②" xfId="1619" xr:uid="{00000000-0005-0000-0000-0000590A0000}"/>
    <cellStyle name="_안산부대(투찰)⑤_합덕-신례원(2공구)투찰_합덕-신례원(2공구)투찰_경찰서-터미널간도로(투찰)②_마현생창(동양고속)" xfId="1620" xr:uid="{00000000-0005-0000-0000-00005A0A0000}"/>
    <cellStyle name="_안산부대(투찰)⑤_합덕-신례원(2공구)투찰_합덕-신례원(2공구)투찰_경찰서-터미널간도로(투찰)②_마현생창(동양고속)_예정공정표" xfId="1621" xr:uid="{00000000-0005-0000-0000-00005B0A0000}"/>
    <cellStyle name="_안산부대(투찰)⑤_합덕-신례원(2공구)투찰_합덕-신례원(2공구)투찰_경찰서-터미널간도로(투찰)②_마현생창(동양고속)_왜관-태평건설" xfId="1622" xr:uid="{00000000-0005-0000-0000-00005C0A0000}"/>
    <cellStyle name="_안산부대(투찰)⑤_합덕-신례원(2공구)투찰_합덕-신례원(2공구)투찰_경찰서-터미널간도로(투찰)②_마현생창(동양고속)_왜관-태평건설_예정공정표" xfId="1623" xr:uid="{00000000-0005-0000-0000-00005D0A0000}"/>
    <cellStyle name="_안산부대(투찰)⑤_합덕-신례원(2공구)투찰_합덕-신례원(2공구)투찰_경찰서-터미널간도로(투찰)②_예정공정표" xfId="1624" xr:uid="{00000000-0005-0000-0000-00005E0A0000}"/>
    <cellStyle name="_안산부대(투찰)⑤_합덕-신례원(2공구)투찰_합덕-신례원(2공구)투찰_경찰서-터미널간도로(투찰)②_왜관-태평건설" xfId="1625" xr:uid="{00000000-0005-0000-0000-00005F0A0000}"/>
    <cellStyle name="_안산부대(투찰)⑤_합덕-신례원(2공구)투찰_합덕-신례원(2공구)투찰_경찰서-터미널간도로(투찰)②_왜관-태평건설_예정공정표" xfId="1626" xr:uid="{00000000-0005-0000-0000-0000600A0000}"/>
    <cellStyle name="_안산부대(투찰)⑤_합덕-신례원(2공구)투찰_합덕-신례원(2공구)투찰_마현생창(동양고속)" xfId="1627" xr:uid="{00000000-0005-0000-0000-0000610A0000}"/>
    <cellStyle name="_안산부대(투찰)⑤_합덕-신례원(2공구)투찰_합덕-신례원(2공구)투찰_마현생창(동양고속)_예정공정표" xfId="1628" xr:uid="{00000000-0005-0000-0000-0000620A0000}"/>
    <cellStyle name="_안산부대(투찰)⑤_합덕-신례원(2공구)투찰_합덕-신례원(2공구)투찰_마현생창(동양고속)_왜관-태평건설" xfId="1629" xr:uid="{00000000-0005-0000-0000-0000630A0000}"/>
    <cellStyle name="_안산부대(투찰)⑤_합덕-신례원(2공구)투찰_합덕-신례원(2공구)투찰_마현생창(동양고속)_왜관-태평건설_예정공정표" xfId="1630" xr:uid="{00000000-0005-0000-0000-0000640A0000}"/>
    <cellStyle name="_안산부대(투찰)⑤_합덕-신례원(2공구)투찰_합덕-신례원(2공구)투찰_봉무지방산업단지도로(투찰)②" xfId="1631" xr:uid="{00000000-0005-0000-0000-0000650A0000}"/>
    <cellStyle name="_안산부대(투찰)⑤_합덕-신례원(2공구)투찰_합덕-신례원(2공구)투찰_봉무지방산업단지도로(투찰)②_마현생창(동양고속)" xfId="1632" xr:uid="{00000000-0005-0000-0000-0000660A0000}"/>
    <cellStyle name="_안산부대(투찰)⑤_합덕-신례원(2공구)투찰_합덕-신례원(2공구)투찰_봉무지방산업단지도로(투찰)②_마현생창(동양고속)_예정공정표" xfId="1633" xr:uid="{00000000-0005-0000-0000-0000670A0000}"/>
    <cellStyle name="_안산부대(투찰)⑤_합덕-신례원(2공구)투찰_합덕-신례원(2공구)투찰_봉무지방산업단지도로(투찰)②_마현생창(동양고속)_왜관-태평건설" xfId="1634" xr:uid="{00000000-0005-0000-0000-0000680A0000}"/>
    <cellStyle name="_안산부대(투찰)⑤_합덕-신례원(2공구)투찰_합덕-신례원(2공구)투찰_봉무지방산업단지도로(투찰)②_마현생창(동양고속)_왜관-태평건설_예정공정표" xfId="1635" xr:uid="{00000000-0005-0000-0000-0000690A0000}"/>
    <cellStyle name="_안산부대(투찰)⑤_합덕-신례원(2공구)투찰_합덕-신례원(2공구)투찰_봉무지방산업단지도로(투찰)②_예정공정표" xfId="1636" xr:uid="{00000000-0005-0000-0000-00006A0A0000}"/>
    <cellStyle name="_안산부대(투찰)⑤_합덕-신례원(2공구)투찰_합덕-신례원(2공구)투찰_봉무지방산업단지도로(투찰)②_왜관-태평건설" xfId="1637" xr:uid="{00000000-0005-0000-0000-00006B0A0000}"/>
    <cellStyle name="_안산부대(투찰)⑤_합덕-신례원(2공구)투찰_합덕-신례원(2공구)투찰_봉무지방산업단지도로(투찰)②_왜관-태평건설_예정공정표" xfId="1638" xr:uid="{00000000-0005-0000-0000-00006C0A0000}"/>
    <cellStyle name="_안산부대(투찰)⑤_합덕-신례원(2공구)투찰_합덕-신례원(2공구)투찰_봉무지방산업단지도로(투찰)②+0.250%" xfId="1639" xr:uid="{00000000-0005-0000-0000-00006D0A0000}"/>
    <cellStyle name="_안산부대(투찰)⑤_합덕-신례원(2공구)투찰_합덕-신례원(2공구)투찰_봉무지방산업단지도로(투찰)②+0.250%_마현생창(동양고속)" xfId="1640" xr:uid="{00000000-0005-0000-0000-00006E0A0000}"/>
    <cellStyle name="_안산부대(투찰)⑤_합덕-신례원(2공구)투찰_합덕-신례원(2공구)투찰_봉무지방산업단지도로(투찰)②+0.250%_마현생창(동양고속)_예정공정표" xfId="1641" xr:uid="{00000000-0005-0000-0000-00006F0A0000}"/>
    <cellStyle name="_안산부대(투찰)⑤_합덕-신례원(2공구)투찰_합덕-신례원(2공구)투찰_봉무지방산업단지도로(투찰)②+0.250%_마현생창(동양고속)_왜관-태평건설" xfId="1642" xr:uid="{00000000-0005-0000-0000-0000700A0000}"/>
    <cellStyle name="_안산부대(투찰)⑤_합덕-신례원(2공구)투찰_합덕-신례원(2공구)투찰_봉무지방산업단지도로(투찰)②+0.250%_마현생창(동양고속)_왜관-태평건설_예정공정표" xfId="1643" xr:uid="{00000000-0005-0000-0000-0000710A0000}"/>
    <cellStyle name="_안산부대(투찰)⑤_합덕-신례원(2공구)투찰_합덕-신례원(2공구)투찰_봉무지방산업단지도로(투찰)②+0.250%_예정공정표" xfId="1644" xr:uid="{00000000-0005-0000-0000-0000720A0000}"/>
    <cellStyle name="_안산부대(투찰)⑤_합덕-신례원(2공구)투찰_합덕-신례원(2공구)투찰_봉무지방산업단지도로(투찰)②+0.250%_왜관-태평건설" xfId="1645" xr:uid="{00000000-0005-0000-0000-0000730A0000}"/>
    <cellStyle name="_안산부대(투찰)⑤_합덕-신례원(2공구)투찰_합덕-신례원(2공구)투찰_봉무지방산업단지도로(투찰)②+0.250%_왜관-태평건설_예정공정표" xfId="1646" xr:uid="{00000000-0005-0000-0000-0000740A0000}"/>
    <cellStyle name="_안산부대(투찰)⑤_합덕-신례원(2공구)투찰_합덕-신례원(2공구)투찰_예정공정표" xfId="1647" xr:uid="{00000000-0005-0000-0000-0000750A0000}"/>
    <cellStyle name="_안산부대(투찰)⑤_합덕-신례원(2공구)투찰_합덕-신례원(2공구)투찰_왜관-태평건설" xfId="1648" xr:uid="{00000000-0005-0000-0000-0000760A0000}"/>
    <cellStyle name="_안산부대(투찰)⑤_합덕-신례원(2공구)투찰_합덕-신례원(2공구)투찰_왜관-태평건설_예정공정표" xfId="1649" xr:uid="{00000000-0005-0000-0000-0000770A0000}"/>
    <cellStyle name="_안양지식산업진흥원" xfId="3684" xr:uid="{00000000-0005-0000-0000-0000780A0000}"/>
    <cellStyle name="_안양지청구조물내역서-20080524" xfId="3685" xr:uid="{00000000-0005-0000-0000-0000790A0000}"/>
    <cellStyle name="_안태 배수장 신축공사" xfId="3686" xr:uid="{00000000-0005-0000-0000-00007A0A0000}"/>
    <cellStyle name="_안태배수장전기" xfId="3687" xr:uid="{00000000-0005-0000-0000-00007B0A0000}"/>
    <cellStyle name="_안태전기내역" xfId="3688" xr:uid="{00000000-0005-0000-0000-00007C0A0000}"/>
    <cellStyle name="_압구정지점" xfId="3689" xr:uid="{00000000-0005-0000-0000-00007D0A0000}"/>
    <cellStyle name="_양곡부두(투찰)+0.30%" xfId="1650" xr:uid="{00000000-0005-0000-0000-00007E0A0000}"/>
    <cellStyle name="_언주중-1" xfId="1651" xr:uid="{00000000-0005-0000-0000-00007F0A0000}"/>
    <cellStyle name="_업무공유" xfId="3690" xr:uid="{00000000-0005-0000-0000-0000800A0000}"/>
    <cellStyle name="_여수우회" xfId="3691" xr:uid="{00000000-0005-0000-0000-0000810A0000}"/>
    <cellStyle name="_역삼성진" xfId="1652" xr:uid="{00000000-0005-0000-0000-0000820A0000}"/>
    <cellStyle name="_연구원실험대(24종)-최종" xfId="3692" xr:uid="{00000000-0005-0000-0000-0000830A0000}"/>
    <cellStyle name="_연희,마전,가정,크리스탈" xfId="3693" xr:uid="{00000000-0005-0000-0000-0000840A0000}"/>
    <cellStyle name="_영산강-금호(부대내역)" xfId="3694" xr:uid="{00000000-0005-0000-0000-0000850A0000}"/>
    <cellStyle name="_영산강-금호(부대내역)_공무정산양식(10월초)" xfId="3695" xr:uid="{00000000-0005-0000-0000-0000860A0000}"/>
    <cellStyle name="_영산강-금호(부대내역)_공무정산양식(10월초)_기성내역서" xfId="3696" xr:uid="{00000000-0005-0000-0000-0000870A0000}"/>
    <cellStyle name="_영산강-금호(부대내역)_공무정산양식(10월초)_기성내역서_전체계약변경(03)" xfId="3697" xr:uid="{00000000-0005-0000-0000-0000880A0000}"/>
    <cellStyle name="_영산강-금호(부대내역)_공무정산양식(10월초)_전체계약변경(03)" xfId="3698" xr:uid="{00000000-0005-0000-0000-0000890A0000}"/>
    <cellStyle name="_영산강-금호(부대내역)_공무정산양식(10월초)_포장외건(최종)" xfId="3699" xr:uid="{00000000-0005-0000-0000-00008A0A0000}"/>
    <cellStyle name="_영산강-금호(부대내역)_기성내역서" xfId="3700" xr:uid="{00000000-0005-0000-0000-00008B0A0000}"/>
    <cellStyle name="_영산강-금호(부대내역)_기성내역서_전체계약변경(03)" xfId="3701" xr:uid="{00000000-0005-0000-0000-00008C0A0000}"/>
    <cellStyle name="_영산강-금호(부대내역)_전체계약변경(03)" xfId="3702" xr:uid="{00000000-0005-0000-0000-00008D0A0000}"/>
    <cellStyle name="_영산강-금호(부대내역)_포장외건(최종)" xfId="3703" xr:uid="{00000000-0005-0000-0000-00008E0A0000}"/>
    <cellStyle name="_영상 HW 일위대가" xfId="3704" xr:uid="{00000000-0005-0000-0000-00008F0A0000}"/>
    <cellStyle name="_영상HW 실시설계(051101)" xfId="3705" xr:uid="{00000000-0005-0000-0000-0000900A0000}"/>
    <cellStyle name="_영상-HW(수정)배관배선" xfId="3706" xr:uid="{00000000-0005-0000-0000-0000910A0000}"/>
    <cellStyle name="_영상S" xfId="3707" xr:uid="{00000000-0005-0000-0000-0000920A0000}"/>
    <cellStyle name="_영양반딧불전기" xfId="1653" xr:uid="{00000000-0005-0000-0000-0000930A0000}"/>
    <cellStyle name="_예산내역서(해운대+달맞이)" xfId="1654" xr:uid="{00000000-0005-0000-0000-0000940A0000}"/>
    <cellStyle name="_예산내역서(해운대+달맞이)-도급공사분일위대가수정(09.06)" xfId="1655" xr:uid="{00000000-0005-0000-0000-0000950A0000}"/>
    <cellStyle name="_예산서(이화철교)" xfId="3708" xr:uid="{00000000-0005-0000-0000-0000960A0000}"/>
    <cellStyle name="_예정공정표" xfId="3709" xr:uid="{00000000-0005-0000-0000-0000970A0000}"/>
    <cellStyle name="_예정공정표(전남남부권현장)" xfId="3710" xr:uid="{00000000-0005-0000-0000-0000980A0000}"/>
    <cellStyle name="_예정공정표(전남남부권현장)_6월기성" xfId="3711" xr:uid="{00000000-0005-0000-0000-0000990A0000}"/>
    <cellStyle name="_예정공정표(전남남부권현장)_6월기성_원등수량" xfId="3712" xr:uid="{00000000-0005-0000-0000-00009A0A0000}"/>
    <cellStyle name="_예정공정표(전남남부권현장)_원등수량" xfId="3713" xr:uid="{00000000-0005-0000-0000-00009B0A0000}"/>
    <cellStyle name="_예정공정표(전체)변경" xfId="3714" xr:uid="{00000000-0005-0000-0000-00009C0A0000}"/>
    <cellStyle name="_예정공정표(전체)변경_6월기성" xfId="3715" xr:uid="{00000000-0005-0000-0000-00009D0A0000}"/>
    <cellStyle name="_예정공정표(전체)변경_6월기성_원등수량" xfId="3716" xr:uid="{00000000-0005-0000-0000-00009E0A0000}"/>
    <cellStyle name="_예정공정표(전체)변경_원등수량" xfId="3717" xr:uid="{00000000-0005-0000-0000-00009F0A0000}"/>
    <cellStyle name="_예정공정표2" xfId="3718" xr:uid="{00000000-0005-0000-0000-0000A00A0000}"/>
    <cellStyle name="_오공본드" xfId="3719" xr:uid="{00000000-0005-0000-0000-0000A10A0000}"/>
    <cellStyle name="_옥포초등학교소방내역서" xfId="1656" xr:uid="{00000000-0005-0000-0000-0000A20A0000}"/>
    <cellStyle name="_왕숙천 둔치내 조명시설 내역서" xfId="1657" xr:uid="{00000000-0005-0000-0000-0000A30A0000}"/>
    <cellStyle name="_왕숙천 조명기구 구매설치" xfId="1658" xr:uid="{00000000-0005-0000-0000-0000A40A0000}"/>
    <cellStyle name="_외암작업(03_08)" xfId="3720" xr:uid="{00000000-0005-0000-0000-0000A50A0000}"/>
    <cellStyle name="_용인가압장6.6kV설계서" xfId="3721" xr:uid="{00000000-0005-0000-0000-0000A60A0000}"/>
    <cellStyle name="_용인가압장6.6kV설계서_부산대학교-연구동(샘플)" xfId="3722" xr:uid="{00000000-0005-0000-0000-0000A70A0000}"/>
    <cellStyle name="_용인보라지구(06.9월)" xfId="1659" xr:uid="{00000000-0005-0000-0000-0000A80A0000}"/>
    <cellStyle name="_용지초냉난방 0526" xfId="1660" xr:uid="{00000000-0005-0000-0000-0000A90A0000}"/>
    <cellStyle name="_용현한양외계약및준공관련" xfId="3723" xr:uid="{00000000-0005-0000-0000-0000AA0A0000}"/>
    <cellStyle name="_우편물자동파속기 3호(최종)" xfId="3724" xr:uid="{00000000-0005-0000-0000-0000AB0A0000}"/>
    <cellStyle name="_운남~송정2교 2차설변" xfId="1661" xr:uid="{00000000-0005-0000-0000-0000AC0A0000}"/>
    <cellStyle name="_울산강동교차로계산서(최종)06.07(wp)" xfId="3725" xr:uid="{00000000-0005-0000-0000-0000AD0A0000}"/>
    <cellStyle name="_울산강동터널계산서(수정본2)" xfId="3726" xr:uid="{00000000-0005-0000-0000-0000AE0A0000}"/>
    <cellStyle name="_울산강동터널계산서(최종)REV2" xfId="3727" xr:uid="{00000000-0005-0000-0000-0000AF0A0000}"/>
    <cellStyle name="_울진고등학교B동교사증축 내역서" xfId="1662" xr:uid="{00000000-0005-0000-0000-0000B00A0000}"/>
    <cellStyle name="_울진남부초등학교(전기)" xfId="1663" xr:uid="{00000000-0005-0000-0000-0000B10A0000}"/>
    <cellStyle name="_원가계산" xfId="1664" xr:uid="{00000000-0005-0000-0000-0000B20A0000}"/>
    <cellStyle name="_원가계산_1" xfId="1665" xr:uid="{00000000-0005-0000-0000-0000B30A0000}"/>
    <cellStyle name="_원가계산_3-신기중-일반내역서-전기" xfId="1666" xr:uid="{00000000-0005-0000-0000-0000B40A0000}"/>
    <cellStyle name="_원가계산_3-용지초 일반내역서-전기" xfId="1667" xr:uid="{00000000-0005-0000-0000-0000B50A0000}"/>
    <cellStyle name="_원가계산_안일초등학교-일반내역서-전기" xfId="1668" xr:uid="{00000000-0005-0000-0000-0000B60A0000}"/>
    <cellStyle name="_원가계산_전기부문내역서-수정분0131" xfId="1669" xr:uid="{00000000-0005-0000-0000-0000B70A0000}"/>
    <cellStyle name="_원가계산서" xfId="1670" xr:uid="{00000000-0005-0000-0000-0000B80A0000}"/>
    <cellStyle name="_원가계산서(곡성고생활관)" xfId="3728" xr:uid="{00000000-0005-0000-0000-0000B90A0000}"/>
    <cellStyle name="_원가계산서_동부중전기내역서" xfId="1671" xr:uid="{00000000-0005-0000-0000-0000BA0A0000}"/>
    <cellStyle name="_원가계산서-1" xfId="1672" xr:uid="{00000000-0005-0000-0000-0000BB0A0000}"/>
    <cellStyle name="_원가분석(1217)" xfId="1673" xr:uid="{00000000-0005-0000-0000-0000BC0A0000}"/>
    <cellStyle name="_원가분석(아이0208)" xfId="1674" xr:uid="{00000000-0005-0000-0000-0000BD0A0000}"/>
    <cellStyle name="_원가-전기" xfId="1675" xr:uid="{00000000-0005-0000-0000-0000BE0A0000}"/>
    <cellStyle name="_원격유지관리시스템(2004)" xfId="3729" xr:uid="{00000000-0005-0000-0000-0000BF0A0000}"/>
    <cellStyle name="_원석학원본관개축견적" xfId="3730" xr:uid="{00000000-0005-0000-0000-0000C00A0000}"/>
    <cellStyle name="_원석학원작업" xfId="3731" xr:uid="{00000000-0005-0000-0000-0000C10A0000}"/>
    <cellStyle name="_월예정공정표" xfId="3732" xr:uid="{00000000-0005-0000-0000-0000C20A0000}"/>
    <cellStyle name="_유강초수배전" xfId="1676" xr:uid="{00000000-0005-0000-0000-0000C30A0000}"/>
    <cellStyle name="_유기전기1(동영ENG내역)" xfId="1677" xr:uid="{00000000-0005-0000-0000-0000C40A0000}"/>
    <cellStyle name="_유선설비(051216)" xfId="3733" xr:uid="{00000000-0005-0000-0000-0000C50A0000}"/>
    <cellStyle name="_유치투찰" xfId="1678" xr:uid="{00000000-0005-0000-0000-0000C60A0000}"/>
    <cellStyle name="_유치투찰_예정공정표" xfId="1679" xr:uid="{00000000-0005-0000-0000-0000C70A0000}"/>
    <cellStyle name="_유치투찰_왜관-태평건설" xfId="1680" xr:uid="{00000000-0005-0000-0000-0000C80A0000}"/>
    <cellStyle name="_유치투찰_왜관-태평건설_예정공정표" xfId="1681" xr:uid="{00000000-0005-0000-0000-0000C90A0000}"/>
    <cellStyle name="_음암관리비" xfId="3734" xr:uid="{00000000-0005-0000-0000-0000CA0A0000}"/>
    <cellStyle name="_이곡_국민체육센터(수영장)_건립-전기(1105)" xfId="1682" xr:uid="{00000000-0005-0000-0000-0000CB0A0000}"/>
    <cellStyle name="_이곡운동장 터파기" xfId="5143" xr:uid="{00000000-0005-0000-0000-0000CC0A0000}"/>
    <cellStyle name="_인버터발주서-0814-DNGSOLAR" xfId="3735" xr:uid="{00000000-0005-0000-0000-0000CD0A0000}"/>
    <cellStyle name="_인원계획표 " xfId="1683" xr:uid="{00000000-0005-0000-0000-0000CE0A0000}"/>
    <cellStyle name="_인원계획표 _(가)실행" xfId="3736" xr:uid="{00000000-0005-0000-0000-0000CF0A0000}"/>
    <cellStyle name="_인원계획표 _(가)실행_(가)실행" xfId="3737" xr:uid="{00000000-0005-0000-0000-0000D00A0000}"/>
    <cellStyle name="_인원계획표 _(가)실행_(가)실행2" xfId="3738" xr:uid="{00000000-0005-0000-0000-0000D10A0000}"/>
    <cellStyle name="_인원계획표 _(가)실행_중동성황(가)실행" xfId="3739" xr:uid="{00000000-0005-0000-0000-0000D20A0000}"/>
    <cellStyle name="_인원계획표 _1차1회변경" xfId="1684" xr:uid="{00000000-0005-0000-0000-0000D30A0000}"/>
    <cellStyle name="_인원계획표 _6월기성" xfId="3740" xr:uid="{00000000-0005-0000-0000-0000D40A0000}"/>
    <cellStyle name="_인원계획표 _6월기성_원등수량" xfId="3741" xr:uid="{00000000-0005-0000-0000-0000D50A0000}"/>
    <cellStyle name="_인원계획표 _가실행(공설운동장)" xfId="3742" xr:uid="{00000000-0005-0000-0000-0000D60A0000}"/>
    <cellStyle name="_인원계획표 _가실행(공설운동장)_(가)실행" xfId="3743" xr:uid="{00000000-0005-0000-0000-0000D70A0000}"/>
    <cellStyle name="_인원계획표 _가실행(공설운동장)_(가)실행2" xfId="3744" xr:uid="{00000000-0005-0000-0000-0000D80A0000}"/>
    <cellStyle name="_인원계획표 _가실행(공설운동장)_중동성황(가)실행" xfId="3745" xr:uid="{00000000-0005-0000-0000-0000D90A0000}"/>
    <cellStyle name="_인원계획표 _가실행(송탄IC)" xfId="3746" xr:uid="{00000000-0005-0000-0000-0000DA0A0000}"/>
    <cellStyle name="_인원계획표 _가실행(송탄IC)_(가)실행" xfId="3747" xr:uid="{00000000-0005-0000-0000-0000DB0A0000}"/>
    <cellStyle name="_인원계획표 _가실행(송탄IC)_(가)실행2" xfId="3748" xr:uid="{00000000-0005-0000-0000-0000DC0A0000}"/>
    <cellStyle name="_인원계획표 _가실행(송탄IC)_중동성황(가)실행" xfId="3749" xr:uid="{00000000-0005-0000-0000-0000DD0A0000}"/>
    <cellStyle name="_인원계획표 _당진대전-5 설투견" xfId="3750" xr:uid="{00000000-0005-0000-0000-0000DE0A0000}"/>
    <cellStyle name="_인원계획표 _당진대전-5 설투견_6월기성" xfId="3751" xr:uid="{00000000-0005-0000-0000-0000DF0A0000}"/>
    <cellStyle name="_인원계획표 _당진대전-5 설투견_6월기성_원등수량" xfId="3752" xr:uid="{00000000-0005-0000-0000-0000E00A0000}"/>
    <cellStyle name="_인원계획표 _당진대전-5 설투견_원등수량" xfId="3753" xr:uid="{00000000-0005-0000-0000-0000E10A0000}"/>
    <cellStyle name="_인원계획표 _도급내역(전체분)" xfId="1685" xr:uid="{00000000-0005-0000-0000-0000E20A0000}"/>
    <cellStyle name="_인원계획표 _도급내역(전체분)_복사본 총괄1회변경" xfId="1686" xr:uid="{00000000-0005-0000-0000-0000E30A0000}"/>
    <cellStyle name="_인원계획표 _도급내역(전체분)_총괄1회변경" xfId="1687" xr:uid="{00000000-0005-0000-0000-0000E40A0000}"/>
    <cellStyle name="_인원계획표 _도급내역(토공)" xfId="1688" xr:uid="{00000000-0005-0000-0000-0000E50A0000}"/>
    <cellStyle name="_인원계획표 _설계변경내역서(1회총괄)" xfId="1689" xr:uid="{00000000-0005-0000-0000-0000E60A0000}"/>
    <cellStyle name="_인원계획표 _설계변경앞지" xfId="1690" xr:uid="{00000000-0005-0000-0000-0000E70A0000}"/>
    <cellStyle name="_인원계획표 _설계변경앞지(2차)" xfId="1691" xr:uid="{00000000-0005-0000-0000-0000E80A0000}"/>
    <cellStyle name="_인원계획표 _설계변경앞지(총괄)" xfId="1692" xr:uid="{00000000-0005-0000-0000-0000E90A0000}"/>
    <cellStyle name="_인원계획표 _설계변경총괄(토목,건축,기계,조경)01" xfId="1693" xr:uid="{00000000-0005-0000-0000-0000EA0A0000}"/>
    <cellStyle name="_인원계획표 _설계변경총괄(토목,건축,기계,조경)02" xfId="1694" xr:uid="{00000000-0005-0000-0000-0000EB0A0000}"/>
    <cellStyle name="_인원계획표 _예정공정표" xfId="1695" xr:uid="{00000000-0005-0000-0000-0000EC0A0000}"/>
    <cellStyle name="_인원계획표 _원등수량" xfId="3754" xr:uid="{00000000-0005-0000-0000-0000ED0A0000}"/>
    <cellStyle name="_인원계획표 _작업" xfId="1696" xr:uid="{00000000-0005-0000-0000-0000EE0A0000}"/>
    <cellStyle name="_인원계획표 _적격 " xfId="1697" xr:uid="{00000000-0005-0000-0000-0000EF0A0000}"/>
    <cellStyle name="_인원계획표 _적격 _1차1회변경" xfId="1698" xr:uid="{00000000-0005-0000-0000-0000F00A0000}"/>
    <cellStyle name="_인원계획표 _적격 _6월기성" xfId="3755" xr:uid="{00000000-0005-0000-0000-0000F10A0000}"/>
    <cellStyle name="_인원계획표 _적격 _6월기성_원등수량" xfId="3756" xr:uid="{00000000-0005-0000-0000-0000F20A0000}"/>
    <cellStyle name="_인원계획표 _적격 _당진대전-5 설투견" xfId="3757" xr:uid="{00000000-0005-0000-0000-0000F30A0000}"/>
    <cellStyle name="_인원계획표 _적격 _당진대전-5 설투견_6월기성" xfId="3758" xr:uid="{00000000-0005-0000-0000-0000F40A0000}"/>
    <cellStyle name="_인원계획표 _적격 _당진대전-5 설투견_6월기성_원등수량" xfId="3759" xr:uid="{00000000-0005-0000-0000-0000F50A0000}"/>
    <cellStyle name="_인원계획표 _적격 _당진대전-5 설투견_원등수량" xfId="3760" xr:uid="{00000000-0005-0000-0000-0000F60A0000}"/>
    <cellStyle name="_인원계획표 _적격 _도급내역(전체분)" xfId="1699" xr:uid="{00000000-0005-0000-0000-0000F70A0000}"/>
    <cellStyle name="_인원계획표 _적격 _도급내역(전체분)_복사본 총괄1회변경" xfId="1700" xr:uid="{00000000-0005-0000-0000-0000F80A0000}"/>
    <cellStyle name="_인원계획표 _적격 _도급내역(전체분)_총괄1회변경" xfId="1701" xr:uid="{00000000-0005-0000-0000-0000F90A0000}"/>
    <cellStyle name="_인원계획표 _적격 _도급내역(토공)" xfId="1702" xr:uid="{00000000-0005-0000-0000-0000FA0A0000}"/>
    <cellStyle name="_인원계획표 _적격 _설계변경내역서(1회총괄)" xfId="1703" xr:uid="{00000000-0005-0000-0000-0000FB0A0000}"/>
    <cellStyle name="_인원계획표 _적격 _설계변경앞지" xfId="1704" xr:uid="{00000000-0005-0000-0000-0000FC0A0000}"/>
    <cellStyle name="_인원계획표 _적격 _설계변경앞지(2차)" xfId="1705" xr:uid="{00000000-0005-0000-0000-0000FD0A0000}"/>
    <cellStyle name="_인원계획표 _적격 _설계변경앞지(총괄)" xfId="1706" xr:uid="{00000000-0005-0000-0000-0000FE0A0000}"/>
    <cellStyle name="_인원계획표 _적격 _설계변경총괄(토목,건축,기계,조경)01" xfId="1707" xr:uid="{00000000-0005-0000-0000-0000FF0A0000}"/>
    <cellStyle name="_인원계획표 _적격 _설계변경총괄(토목,건축,기계,조경)02" xfId="1708" xr:uid="{00000000-0005-0000-0000-0000000B0000}"/>
    <cellStyle name="_인원계획표 _적격 _예정공정표" xfId="1709" xr:uid="{00000000-0005-0000-0000-0000010B0000}"/>
    <cellStyle name="_인원계획표 _적격 _원등수량" xfId="3761" xr:uid="{00000000-0005-0000-0000-0000020B0000}"/>
    <cellStyle name="_인원계획표 _적격 _작업" xfId="1710" xr:uid="{00000000-0005-0000-0000-0000030B0000}"/>
    <cellStyle name="_인원계획표 _적격 _제잡비계산서" xfId="1711" xr:uid="{00000000-0005-0000-0000-0000040B0000}"/>
    <cellStyle name="_인원계획표 _적격 _증평1차내역" xfId="1712" xr:uid="{00000000-0005-0000-0000-0000050B0000}"/>
    <cellStyle name="_인원계획표 _적격 _증평1차내역_1차1회변경" xfId="1713" xr:uid="{00000000-0005-0000-0000-0000060B0000}"/>
    <cellStyle name="_인원계획표 _적격 _증평1차내역_1차1회변경_예정공정표" xfId="1714" xr:uid="{00000000-0005-0000-0000-0000070B0000}"/>
    <cellStyle name="_인원계획표 _적격 _증평1차내역_예정공정표" xfId="1715" xr:uid="{00000000-0005-0000-0000-0000080B0000}"/>
    <cellStyle name="_인원계획표 _적격 _증평1차내역_총괄1회변경" xfId="1716" xr:uid="{00000000-0005-0000-0000-0000090B0000}"/>
    <cellStyle name="_인원계획표 _적격 _총괄1회변경" xfId="1717" xr:uid="{00000000-0005-0000-0000-00000A0B0000}"/>
    <cellStyle name="_인원계획표 _제잡비계산서" xfId="1718" xr:uid="{00000000-0005-0000-0000-00000B0B0000}"/>
    <cellStyle name="_인원계획표 _중동성황(가)실행" xfId="3762" xr:uid="{00000000-0005-0000-0000-00000C0B0000}"/>
    <cellStyle name="_인원계획표 _중동성황(가)실행_(가)실행" xfId="3763" xr:uid="{00000000-0005-0000-0000-00000D0B0000}"/>
    <cellStyle name="_인원계획표 _중동성황(가)실행_(가)실행2" xfId="3764" xr:uid="{00000000-0005-0000-0000-00000E0B0000}"/>
    <cellStyle name="_인원계획표 _중동성황(가)실행_중동성황(가)실행" xfId="3765" xr:uid="{00000000-0005-0000-0000-00000F0B0000}"/>
    <cellStyle name="_인원계획표 _중동-성황투찰(new)(발주자변경)" xfId="3766" xr:uid="{00000000-0005-0000-0000-0000100B0000}"/>
    <cellStyle name="_인원계획표 _중동-성황투찰(new)(발주자변경)_(가)실행" xfId="3767" xr:uid="{00000000-0005-0000-0000-0000110B0000}"/>
    <cellStyle name="_인원계획표 _중동-성황투찰(new)(발주자변경)_(가)실행2" xfId="3768" xr:uid="{00000000-0005-0000-0000-0000120B0000}"/>
    <cellStyle name="_인원계획표 _중동-성황투찰(new)(발주자변경)_중동성황(가)실행" xfId="3769" xr:uid="{00000000-0005-0000-0000-0000130B0000}"/>
    <cellStyle name="_인원계획표 _증평1차내역" xfId="1719" xr:uid="{00000000-0005-0000-0000-0000140B0000}"/>
    <cellStyle name="_인원계획표 _증평1차내역_1차1회변경" xfId="1720" xr:uid="{00000000-0005-0000-0000-0000150B0000}"/>
    <cellStyle name="_인원계획표 _증평1차내역_1차1회변경_예정공정표" xfId="1721" xr:uid="{00000000-0005-0000-0000-0000160B0000}"/>
    <cellStyle name="_인원계획표 _증평1차내역_예정공정표" xfId="1722" xr:uid="{00000000-0005-0000-0000-0000170B0000}"/>
    <cellStyle name="_인원계획표 _증평1차내역_총괄1회변경" xfId="1723" xr:uid="{00000000-0005-0000-0000-0000180B0000}"/>
    <cellStyle name="_인원계획표 _총괄1회변경" xfId="1724" xr:uid="{00000000-0005-0000-0000-0000190B0000}"/>
    <cellStyle name="_인원계획표 _토공및구조물" xfId="3770" xr:uid="{00000000-0005-0000-0000-00001A0B0000}"/>
    <cellStyle name="_인원계획표 _토공및구조물_(가)실행" xfId="3771" xr:uid="{00000000-0005-0000-0000-00001B0B0000}"/>
    <cellStyle name="_인원계획표 _토공및구조물_(가)실행2" xfId="3772" xr:uid="{00000000-0005-0000-0000-00001C0B0000}"/>
    <cellStyle name="_인원계획표 _토공및구조물_중동성황(가)실행" xfId="3773" xr:uid="{00000000-0005-0000-0000-00001D0B0000}"/>
    <cellStyle name="_인원계획표 _토공및터널발주" xfId="3774" xr:uid="{00000000-0005-0000-0000-00001E0B0000}"/>
    <cellStyle name="_인원계획표 _토공및터널발주분내역서1" xfId="3775" xr:uid="{00000000-0005-0000-0000-00001F0B0000}"/>
    <cellStyle name="_인정전 내역서--" xfId="1725" xr:uid="{00000000-0005-0000-0000-0000200B0000}"/>
    <cellStyle name="_인지초등학교 내역서" xfId="1726" xr:uid="{00000000-0005-0000-0000-0000210B0000}"/>
    <cellStyle name="_인천통합국사" xfId="3776" xr:uid="{00000000-0005-0000-0000-0000220B0000}"/>
    <cellStyle name="_일위대가" xfId="1727" xr:uid="{00000000-0005-0000-0000-0000230B0000}"/>
    <cellStyle name="_일위대가_1" xfId="3777" xr:uid="{00000000-0005-0000-0000-0000240B0000}"/>
    <cellStyle name="_일위대가_2" xfId="3778" xr:uid="{00000000-0005-0000-0000-0000250B0000}"/>
    <cellStyle name="_일위대가목록" xfId="3779" xr:uid="{00000000-0005-0000-0000-0000260B0000}"/>
    <cellStyle name="_임금(진흥콘크리트)" xfId="1728" xr:uid="{00000000-0005-0000-0000-0000270B0000}"/>
    <cellStyle name="_입찰표지 " xfId="1729" xr:uid="{00000000-0005-0000-0000-0000280B0000}"/>
    <cellStyle name="_입찰표지 _(가)실행" xfId="3780" xr:uid="{00000000-0005-0000-0000-0000290B0000}"/>
    <cellStyle name="_입찰표지 _(가)실행_(가)실행" xfId="3781" xr:uid="{00000000-0005-0000-0000-00002A0B0000}"/>
    <cellStyle name="_입찰표지 _(가)실행_(가)실행2" xfId="3782" xr:uid="{00000000-0005-0000-0000-00002B0B0000}"/>
    <cellStyle name="_입찰표지 _(가)실행_중동성황(가)실행" xfId="3783" xr:uid="{00000000-0005-0000-0000-00002C0B0000}"/>
    <cellStyle name="_입찰표지 _1차1회변경" xfId="1730" xr:uid="{00000000-0005-0000-0000-00002D0B0000}"/>
    <cellStyle name="_입찰표지 _6월기성" xfId="3784" xr:uid="{00000000-0005-0000-0000-00002E0B0000}"/>
    <cellStyle name="_입찰표지 _6월기성_원등수량" xfId="3785" xr:uid="{00000000-0005-0000-0000-00002F0B0000}"/>
    <cellStyle name="_입찰표지 _가실행(공설운동장)" xfId="3786" xr:uid="{00000000-0005-0000-0000-0000300B0000}"/>
    <cellStyle name="_입찰표지 _가실행(공설운동장)_(가)실행" xfId="3787" xr:uid="{00000000-0005-0000-0000-0000310B0000}"/>
    <cellStyle name="_입찰표지 _가실행(공설운동장)_(가)실행2" xfId="3788" xr:uid="{00000000-0005-0000-0000-0000320B0000}"/>
    <cellStyle name="_입찰표지 _가실행(공설운동장)_중동성황(가)실행" xfId="3789" xr:uid="{00000000-0005-0000-0000-0000330B0000}"/>
    <cellStyle name="_입찰표지 _가실행(송탄IC)" xfId="3790" xr:uid="{00000000-0005-0000-0000-0000340B0000}"/>
    <cellStyle name="_입찰표지 _가실행(송탄IC)_(가)실행" xfId="3791" xr:uid="{00000000-0005-0000-0000-0000350B0000}"/>
    <cellStyle name="_입찰표지 _가실행(송탄IC)_(가)실행2" xfId="3792" xr:uid="{00000000-0005-0000-0000-0000360B0000}"/>
    <cellStyle name="_입찰표지 _가실행(송탄IC)_중동성황(가)실행" xfId="3793" xr:uid="{00000000-0005-0000-0000-0000370B0000}"/>
    <cellStyle name="_입찰표지 _당진대전-5 설투견" xfId="3794" xr:uid="{00000000-0005-0000-0000-0000380B0000}"/>
    <cellStyle name="_입찰표지 _당진대전-5 설투견_6월기성" xfId="3795" xr:uid="{00000000-0005-0000-0000-0000390B0000}"/>
    <cellStyle name="_입찰표지 _당진대전-5 설투견_6월기성_원등수량" xfId="3796" xr:uid="{00000000-0005-0000-0000-00003A0B0000}"/>
    <cellStyle name="_입찰표지 _당진대전-5 설투견_원등수량" xfId="3797" xr:uid="{00000000-0005-0000-0000-00003B0B0000}"/>
    <cellStyle name="_입찰표지 _도급내역(전체분)" xfId="1731" xr:uid="{00000000-0005-0000-0000-00003C0B0000}"/>
    <cellStyle name="_입찰표지 _도급내역(전체분)_복사본 총괄1회변경" xfId="1732" xr:uid="{00000000-0005-0000-0000-00003D0B0000}"/>
    <cellStyle name="_입찰표지 _도급내역(전체분)_총괄1회변경" xfId="1733" xr:uid="{00000000-0005-0000-0000-00003E0B0000}"/>
    <cellStyle name="_입찰표지 _도급내역(토공)" xfId="1734" xr:uid="{00000000-0005-0000-0000-00003F0B0000}"/>
    <cellStyle name="_입찰표지 _설계변경내역서(1회총괄)" xfId="1735" xr:uid="{00000000-0005-0000-0000-0000400B0000}"/>
    <cellStyle name="_입찰표지 _설계변경앞지" xfId="1736" xr:uid="{00000000-0005-0000-0000-0000410B0000}"/>
    <cellStyle name="_입찰표지 _설계변경앞지(2차)" xfId="1737" xr:uid="{00000000-0005-0000-0000-0000420B0000}"/>
    <cellStyle name="_입찰표지 _설계변경앞지(총괄)" xfId="1738" xr:uid="{00000000-0005-0000-0000-0000430B0000}"/>
    <cellStyle name="_입찰표지 _설계변경총괄(토목,건축,기계,조경)01" xfId="1739" xr:uid="{00000000-0005-0000-0000-0000440B0000}"/>
    <cellStyle name="_입찰표지 _설계변경총괄(토목,건축,기계,조경)02" xfId="1740" xr:uid="{00000000-0005-0000-0000-0000450B0000}"/>
    <cellStyle name="_입찰표지 _예정공정표" xfId="1741" xr:uid="{00000000-0005-0000-0000-0000460B0000}"/>
    <cellStyle name="_입찰표지 _원등수량" xfId="3798" xr:uid="{00000000-0005-0000-0000-0000470B0000}"/>
    <cellStyle name="_입찰표지 _작업" xfId="1742" xr:uid="{00000000-0005-0000-0000-0000480B0000}"/>
    <cellStyle name="_입찰표지 _제잡비계산서" xfId="1743" xr:uid="{00000000-0005-0000-0000-0000490B0000}"/>
    <cellStyle name="_입찰표지 _중동성황(가)실행" xfId="3799" xr:uid="{00000000-0005-0000-0000-00004A0B0000}"/>
    <cellStyle name="_입찰표지 _중동성황(가)실행_(가)실행" xfId="3800" xr:uid="{00000000-0005-0000-0000-00004B0B0000}"/>
    <cellStyle name="_입찰표지 _중동성황(가)실행_(가)실행2" xfId="3801" xr:uid="{00000000-0005-0000-0000-00004C0B0000}"/>
    <cellStyle name="_입찰표지 _중동성황(가)실행_중동성황(가)실행" xfId="3802" xr:uid="{00000000-0005-0000-0000-00004D0B0000}"/>
    <cellStyle name="_입찰표지 _중동-성황투찰(new)(발주자변경)" xfId="3803" xr:uid="{00000000-0005-0000-0000-00004E0B0000}"/>
    <cellStyle name="_입찰표지 _중동-성황투찰(new)(발주자변경)_(가)실행" xfId="3804" xr:uid="{00000000-0005-0000-0000-00004F0B0000}"/>
    <cellStyle name="_입찰표지 _중동-성황투찰(new)(발주자변경)_(가)실행2" xfId="3805" xr:uid="{00000000-0005-0000-0000-0000500B0000}"/>
    <cellStyle name="_입찰표지 _중동-성황투찰(new)(발주자변경)_중동성황(가)실행" xfId="3806" xr:uid="{00000000-0005-0000-0000-0000510B0000}"/>
    <cellStyle name="_입찰표지 _증평1차내역" xfId="1744" xr:uid="{00000000-0005-0000-0000-0000520B0000}"/>
    <cellStyle name="_입찰표지 _증평1차내역_1차1회변경" xfId="1745" xr:uid="{00000000-0005-0000-0000-0000530B0000}"/>
    <cellStyle name="_입찰표지 _증평1차내역_1차1회변경_예정공정표" xfId="1746" xr:uid="{00000000-0005-0000-0000-0000540B0000}"/>
    <cellStyle name="_입찰표지 _증평1차내역_예정공정표" xfId="1747" xr:uid="{00000000-0005-0000-0000-0000550B0000}"/>
    <cellStyle name="_입찰표지 _증평1차내역_총괄1회변경" xfId="1748" xr:uid="{00000000-0005-0000-0000-0000560B0000}"/>
    <cellStyle name="_입찰표지 _총괄1회변경" xfId="1749" xr:uid="{00000000-0005-0000-0000-0000570B0000}"/>
    <cellStyle name="_입찰표지 _토공및구조물" xfId="3807" xr:uid="{00000000-0005-0000-0000-0000580B0000}"/>
    <cellStyle name="_입찰표지 _토공및구조물_(가)실행" xfId="3808" xr:uid="{00000000-0005-0000-0000-0000590B0000}"/>
    <cellStyle name="_입찰표지 _토공및구조물_(가)실행2" xfId="3809" xr:uid="{00000000-0005-0000-0000-00005A0B0000}"/>
    <cellStyle name="_입찰표지 _토공및구조물_중동성황(가)실행" xfId="3810" xr:uid="{00000000-0005-0000-0000-00005B0B0000}"/>
    <cellStyle name="_입찰표지 _토공및터널발주" xfId="3811" xr:uid="{00000000-0005-0000-0000-00005C0B0000}"/>
    <cellStyle name="_입찰표지 _토공및터널발주분내역서1" xfId="3812" xr:uid="{00000000-0005-0000-0000-00005D0B0000}"/>
    <cellStyle name="_자동선별기보고서" xfId="3813" xr:uid="{00000000-0005-0000-0000-00005E0B0000}"/>
    <cellStyle name="_자동제어" xfId="3814" xr:uid="{00000000-0005-0000-0000-00005F0B0000}"/>
    <cellStyle name="_자재비교표" xfId="3815" xr:uid="{00000000-0005-0000-0000-0000600B0000}"/>
    <cellStyle name="_작업" xfId="1750" xr:uid="{00000000-0005-0000-0000-0000610B0000}"/>
    <cellStyle name="_장미실비요양원0522" xfId="1751" xr:uid="{00000000-0005-0000-0000-0000620B0000}"/>
    <cellStyle name="_장성IC투찰" xfId="1753" xr:uid="{00000000-0005-0000-0000-0000630B0000}"/>
    <cellStyle name="_장성IC투찰_경찰서-터미널간도로(투찰)②" xfId="1754" xr:uid="{00000000-0005-0000-0000-0000640B0000}"/>
    <cellStyle name="_장성IC투찰_경찰서-터미널간도로(투찰)②_마현생창(동양고속)" xfId="1755" xr:uid="{00000000-0005-0000-0000-0000650B0000}"/>
    <cellStyle name="_장성IC투찰_경찰서-터미널간도로(투찰)②_마현생창(동양고속)_예정공정표" xfId="1756" xr:uid="{00000000-0005-0000-0000-0000660B0000}"/>
    <cellStyle name="_장성IC투찰_경찰서-터미널간도로(투찰)②_마현생창(동양고속)_왜관-태평건설" xfId="1757" xr:uid="{00000000-0005-0000-0000-0000670B0000}"/>
    <cellStyle name="_장성IC투찰_경찰서-터미널간도로(투찰)②_마현생창(동양고속)_왜관-태평건설_예정공정표" xfId="1758" xr:uid="{00000000-0005-0000-0000-0000680B0000}"/>
    <cellStyle name="_장성IC투찰_경찰서-터미널간도로(투찰)②_예정공정표" xfId="1759" xr:uid="{00000000-0005-0000-0000-0000690B0000}"/>
    <cellStyle name="_장성IC투찰_경찰서-터미널간도로(투찰)②_왜관-태평건설" xfId="1760" xr:uid="{00000000-0005-0000-0000-00006A0B0000}"/>
    <cellStyle name="_장성IC투찰_경찰서-터미널간도로(투찰)②_왜관-태평건설_예정공정표" xfId="1761" xr:uid="{00000000-0005-0000-0000-00006B0B0000}"/>
    <cellStyle name="_장성IC투찰_마현생창(동양고속)" xfId="1762" xr:uid="{00000000-0005-0000-0000-00006C0B0000}"/>
    <cellStyle name="_장성IC투찰_마현생창(동양고속)_예정공정표" xfId="1763" xr:uid="{00000000-0005-0000-0000-00006D0B0000}"/>
    <cellStyle name="_장성IC투찰_마현생창(동양고속)_왜관-태평건설" xfId="1764" xr:uid="{00000000-0005-0000-0000-00006E0B0000}"/>
    <cellStyle name="_장성IC투찰_마현생창(동양고속)_왜관-태평건설_예정공정표" xfId="1765" xr:uid="{00000000-0005-0000-0000-00006F0B0000}"/>
    <cellStyle name="_장성IC투찰_봉무지방산업단지도로(투찰)②" xfId="1766" xr:uid="{00000000-0005-0000-0000-0000700B0000}"/>
    <cellStyle name="_장성IC투찰_봉무지방산업단지도로(투찰)②_마현생창(동양고속)" xfId="1767" xr:uid="{00000000-0005-0000-0000-0000710B0000}"/>
    <cellStyle name="_장성IC투찰_봉무지방산업단지도로(투찰)②_마현생창(동양고속)_예정공정표" xfId="1768" xr:uid="{00000000-0005-0000-0000-0000720B0000}"/>
    <cellStyle name="_장성IC투찰_봉무지방산업단지도로(투찰)②_마현생창(동양고속)_왜관-태평건설" xfId="1769" xr:uid="{00000000-0005-0000-0000-0000730B0000}"/>
    <cellStyle name="_장성IC투찰_봉무지방산업단지도로(투찰)②_마현생창(동양고속)_왜관-태평건설_예정공정표" xfId="1770" xr:uid="{00000000-0005-0000-0000-0000740B0000}"/>
    <cellStyle name="_장성IC투찰_봉무지방산업단지도로(투찰)②_예정공정표" xfId="1771" xr:uid="{00000000-0005-0000-0000-0000750B0000}"/>
    <cellStyle name="_장성IC투찰_봉무지방산업단지도로(투찰)②_왜관-태평건설" xfId="1772" xr:uid="{00000000-0005-0000-0000-0000760B0000}"/>
    <cellStyle name="_장성IC투찰_봉무지방산업단지도로(투찰)②_왜관-태평건설_예정공정표" xfId="1773" xr:uid="{00000000-0005-0000-0000-0000770B0000}"/>
    <cellStyle name="_장성IC투찰_봉무지방산업단지도로(투찰)②+0.250%" xfId="1774" xr:uid="{00000000-0005-0000-0000-0000780B0000}"/>
    <cellStyle name="_장성IC투찰_봉무지방산업단지도로(투찰)②+0.250%_마현생창(동양고속)" xfId="1775" xr:uid="{00000000-0005-0000-0000-0000790B0000}"/>
    <cellStyle name="_장성IC투찰_봉무지방산업단지도로(투찰)②+0.250%_마현생창(동양고속)_예정공정표" xfId="1776" xr:uid="{00000000-0005-0000-0000-00007A0B0000}"/>
    <cellStyle name="_장성IC투찰_봉무지방산업단지도로(투찰)②+0.250%_마현생창(동양고속)_왜관-태평건설" xfId="1777" xr:uid="{00000000-0005-0000-0000-00007B0B0000}"/>
    <cellStyle name="_장성IC투찰_봉무지방산업단지도로(투찰)②+0.250%_마현생창(동양고속)_왜관-태평건설_예정공정표" xfId="1778" xr:uid="{00000000-0005-0000-0000-00007C0B0000}"/>
    <cellStyle name="_장성IC투찰_봉무지방산업단지도로(투찰)②+0.250%_예정공정표" xfId="1779" xr:uid="{00000000-0005-0000-0000-00007D0B0000}"/>
    <cellStyle name="_장성IC투찰_봉무지방산업단지도로(투찰)②+0.250%_왜관-태평건설" xfId="1780" xr:uid="{00000000-0005-0000-0000-00007E0B0000}"/>
    <cellStyle name="_장성IC투찰_봉무지방산업단지도로(투찰)②+0.250%_왜관-태평건설_예정공정표" xfId="1781" xr:uid="{00000000-0005-0000-0000-00007F0B0000}"/>
    <cellStyle name="_장성IC투찰_예정공정표" xfId="1782" xr:uid="{00000000-0005-0000-0000-0000800B0000}"/>
    <cellStyle name="_장성IC투찰_왜관-태평건설" xfId="1783" xr:uid="{00000000-0005-0000-0000-0000810B0000}"/>
    <cellStyle name="_장성IC투찰_왜관-태평건설_예정공정표" xfId="1784" xr:uid="{00000000-0005-0000-0000-0000820B0000}"/>
    <cellStyle name="_장성IC투찰_합덕-신례원(2공구)투찰" xfId="1785" xr:uid="{00000000-0005-0000-0000-0000830B0000}"/>
    <cellStyle name="_장성IC투찰_합덕-신례원(2공구)투찰_경찰서-터미널간도로(투찰)②" xfId="1786" xr:uid="{00000000-0005-0000-0000-0000840B0000}"/>
    <cellStyle name="_장성IC투찰_합덕-신례원(2공구)투찰_경찰서-터미널간도로(투찰)②_마현생창(동양고속)" xfId="1787" xr:uid="{00000000-0005-0000-0000-0000850B0000}"/>
    <cellStyle name="_장성IC투찰_합덕-신례원(2공구)투찰_경찰서-터미널간도로(투찰)②_마현생창(동양고속)_예정공정표" xfId="1788" xr:uid="{00000000-0005-0000-0000-0000860B0000}"/>
    <cellStyle name="_장성IC투찰_합덕-신례원(2공구)투찰_경찰서-터미널간도로(투찰)②_마현생창(동양고속)_왜관-태평건설" xfId="1789" xr:uid="{00000000-0005-0000-0000-0000870B0000}"/>
    <cellStyle name="_장성IC투찰_합덕-신례원(2공구)투찰_경찰서-터미널간도로(투찰)②_마현생창(동양고속)_왜관-태평건설_예정공정표" xfId="1790" xr:uid="{00000000-0005-0000-0000-0000880B0000}"/>
    <cellStyle name="_장성IC투찰_합덕-신례원(2공구)투찰_경찰서-터미널간도로(투찰)②_예정공정표" xfId="1791" xr:uid="{00000000-0005-0000-0000-0000890B0000}"/>
    <cellStyle name="_장성IC투찰_합덕-신례원(2공구)투찰_경찰서-터미널간도로(투찰)②_왜관-태평건설" xfId="1792" xr:uid="{00000000-0005-0000-0000-00008A0B0000}"/>
    <cellStyle name="_장성IC투찰_합덕-신례원(2공구)투찰_경찰서-터미널간도로(투찰)②_왜관-태평건설_예정공정표" xfId="1793" xr:uid="{00000000-0005-0000-0000-00008B0B0000}"/>
    <cellStyle name="_장성IC투찰_합덕-신례원(2공구)투찰_마현생창(동양고속)" xfId="1794" xr:uid="{00000000-0005-0000-0000-00008C0B0000}"/>
    <cellStyle name="_장성IC투찰_합덕-신례원(2공구)투찰_마현생창(동양고속)_예정공정표" xfId="1795" xr:uid="{00000000-0005-0000-0000-00008D0B0000}"/>
    <cellStyle name="_장성IC투찰_합덕-신례원(2공구)투찰_마현생창(동양고속)_왜관-태평건설" xfId="1796" xr:uid="{00000000-0005-0000-0000-00008E0B0000}"/>
    <cellStyle name="_장성IC투찰_합덕-신례원(2공구)투찰_마현생창(동양고속)_왜관-태평건설_예정공정표" xfId="1797" xr:uid="{00000000-0005-0000-0000-00008F0B0000}"/>
    <cellStyle name="_장성IC투찰_합덕-신례원(2공구)투찰_봉무지방산업단지도로(투찰)②" xfId="1798" xr:uid="{00000000-0005-0000-0000-0000900B0000}"/>
    <cellStyle name="_장성IC투찰_합덕-신례원(2공구)투찰_봉무지방산업단지도로(투찰)②_마현생창(동양고속)" xfId="1799" xr:uid="{00000000-0005-0000-0000-0000910B0000}"/>
    <cellStyle name="_장성IC투찰_합덕-신례원(2공구)투찰_봉무지방산업단지도로(투찰)②_마현생창(동양고속)_예정공정표" xfId="1800" xr:uid="{00000000-0005-0000-0000-0000920B0000}"/>
    <cellStyle name="_장성IC투찰_합덕-신례원(2공구)투찰_봉무지방산업단지도로(투찰)②_마현생창(동양고속)_왜관-태평건설" xfId="1801" xr:uid="{00000000-0005-0000-0000-0000930B0000}"/>
    <cellStyle name="_장성IC투찰_합덕-신례원(2공구)투찰_봉무지방산업단지도로(투찰)②_마현생창(동양고속)_왜관-태평건설_예정공정표" xfId="1802" xr:uid="{00000000-0005-0000-0000-0000940B0000}"/>
    <cellStyle name="_장성IC투찰_합덕-신례원(2공구)투찰_봉무지방산업단지도로(투찰)②_예정공정표" xfId="1803" xr:uid="{00000000-0005-0000-0000-0000950B0000}"/>
    <cellStyle name="_장성IC투찰_합덕-신례원(2공구)투찰_봉무지방산업단지도로(투찰)②_왜관-태평건설" xfId="1804" xr:uid="{00000000-0005-0000-0000-0000960B0000}"/>
    <cellStyle name="_장성IC투찰_합덕-신례원(2공구)투찰_봉무지방산업단지도로(투찰)②_왜관-태평건설_예정공정표" xfId="1805" xr:uid="{00000000-0005-0000-0000-0000970B0000}"/>
    <cellStyle name="_장성IC투찰_합덕-신례원(2공구)투찰_봉무지방산업단지도로(투찰)②+0.250%" xfId="1806" xr:uid="{00000000-0005-0000-0000-0000980B0000}"/>
    <cellStyle name="_장성IC투찰_합덕-신례원(2공구)투찰_봉무지방산업단지도로(투찰)②+0.250%_마현생창(동양고속)" xfId="1807" xr:uid="{00000000-0005-0000-0000-0000990B0000}"/>
    <cellStyle name="_장성IC투찰_합덕-신례원(2공구)투찰_봉무지방산업단지도로(투찰)②+0.250%_마현생창(동양고속)_예정공정표" xfId="1808" xr:uid="{00000000-0005-0000-0000-00009A0B0000}"/>
    <cellStyle name="_장성IC투찰_합덕-신례원(2공구)투찰_봉무지방산업단지도로(투찰)②+0.250%_마현생창(동양고속)_왜관-태평건설" xfId="1809" xr:uid="{00000000-0005-0000-0000-00009B0B0000}"/>
    <cellStyle name="_장성IC투찰_합덕-신례원(2공구)투찰_봉무지방산업단지도로(투찰)②+0.250%_마현생창(동양고속)_왜관-태평건설_예정공정표" xfId="1810" xr:uid="{00000000-0005-0000-0000-00009C0B0000}"/>
    <cellStyle name="_장성IC투찰_합덕-신례원(2공구)투찰_봉무지방산업단지도로(투찰)②+0.250%_예정공정표" xfId="1811" xr:uid="{00000000-0005-0000-0000-00009D0B0000}"/>
    <cellStyle name="_장성IC투찰_합덕-신례원(2공구)투찰_봉무지방산업단지도로(투찰)②+0.250%_왜관-태평건설" xfId="1812" xr:uid="{00000000-0005-0000-0000-00009E0B0000}"/>
    <cellStyle name="_장성IC투찰_합덕-신례원(2공구)투찰_봉무지방산업단지도로(투찰)②+0.250%_왜관-태평건설_예정공정표" xfId="1813" xr:uid="{00000000-0005-0000-0000-00009F0B0000}"/>
    <cellStyle name="_장성IC투찰_합덕-신례원(2공구)투찰_예정공정표" xfId="1814" xr:uid="{00000000-0005-0000-0000-0000A00B0000}"/>
    <cellStyle name="_장성IC투찰_합덕-신례원(2공구)투찰_왜관-태평건설" xfId="1815" xr:uid="{00000000-0005-0000-0000-0000A10B0000}"/>
    <cellStyle name="_장성IC투찰_합덕-신례원(2공구)투찰_왜관-태평건설_예정공정표" xfId="1816" xr:uid="{00000000-0005-0000-0000-0000A20B0000}"/>
    <cellStyle name="_장성IC투찰_합덕-신례원(2공구)투찰_합덕-신례원(2공구)투찰" xfId="1817" xr:uid="{00000000-0005-0000-0000-0000A30B0000}"/>
    <cellStyle name="_장성IC투찰_합덕-신례원(2공구)투찰_합덕-신례원(2공구)투찰_경찰서-터미널간도로(투찰)②" xfId="1818" xr:uid="{00000000-0005-0000-0000-0000A40B0000}"/>
    <cellStyle name="_장성IC투찰_합덕-신례원(2공구)투찰_합덕-신례원(2공구)투찰_경찰서-터미널간도로(투찰)②_마현생창(동양고속)" xfId="1819" xr:uid="{00000000-0005-0000-0000-0000A50B0000}"/>
    <cellStyle name="_장성IC투찰_합덕-신례원(2공구)투찰_합덕-신례원(2공구)투찰_경찰서-터미널간도로(투찰)②_마현생창(동양고속)_예정공정표" xfId="1820" xr:uid="{00000000-0005-0000-0000-0000A60B0000}"/>
    <cellStyle name="_장성IC투찰_합덕-신례원(2공구)투찰_합덕-신례원(2공구)투찰_경찰서-터미널간도로(투찰)②_마현생창(동양고속)_왜관-태평건설" xfId="1821" xr:uid="{00000000-0005-0000-0000-0000A70B0000}"/>
    <cellStyle name="_장성IC투찰_합덕-신례원(2공구)투찰_합덕-신례원(2공구)투찰_경찰서-터미널간도로(투찰)②_마현생창(동양고속)_왜관-태평건설_예정공정표" xfId="1822" xr:uid="{00000000-0005-0000-0000-0000A80B0000}"/>
    <cellStyle name="_장성IC투찰_합덕-신례원(2공구)투찰_합덕-신례원(2공구)투찰_경찰서-터미널간도로(투찰)②_예정공정표" xfId="1823" xr:uid="{00000000-0005-0000-0000-0000A90B0000}"/>
    <cellStyle name="_장성IC투찰_합덕-신례원(2공구)투찰_합덕-신례원(2공구)투찰_경찰서-터미널간도로(투찰)②_왜관-태평건설" xfId="1824" xr:uid="{00000000-0005-0000-0000-0000AA0B0000}"/>
    <cellStyle name="_장성IC투찰_합덕-신례원(2공구)투찰_합덕-신례원(2공구)투찰_경찰서-터미널간도로(투찰)②_왜관-태평건설_예정공정표" xfId="1825" xr:uid="{00000000-0005-0000-0000-0000AB0B0000}"/>
    <cellStyle name="_장성IC투찰_합덕-신례원(2공구)투찰_합덕-신례원(2공구)투찰_마현생창(동양고속)" xfId="1826" xr:uid="{00000000-0005-0000-0000-0000AC0B0000}"/>
    <cellStyle name="_장성IC투찰_합덕-신례원(2공구)투찰_합덕-신례원(2공구)투찰_마현생창(동양고속)_예정공정표" xfId="1827" xr:uid="{00000000-0005-0000-0000-0000AD0B0000}"/>
    <cellStyle name="_장성IC투찰_합덕-신례원(2공구)투찰_합덕-신례원(2공구)투찰_마현생창(동양고속)_왜관-태평건설" xfId="1828" xr:uid="{00000000-0005-0000-0000-0000AE0B0000}"/>
    <cellStyle name="_장성IC투찰_합덕-신례원(2공구)투찰_합덕-신례원(2공구)투찰_마현생창(동양고속)_왜관-태평건설_예정공정표" xfId="1829" xr:uid="{00000000-0005-0000-0000-0000AF0B0000}"/>
    <cellStyle name="_장성IC투찰_합덕-신례원(2공구)투찰_합덕-신례원(2공구)투찰_봉무지방산업단지도로(투찰)②" xfId="1830" xr:uid="{00000000-0005-0000-0000-0000B00B0000}"/>
    <cellStyle name="_장성IC투찰_합덕-신례원(2공구)투찰_합덕-신례원(2공구)투찰_봉무지방산업단지도로(투찰)②_마현생창(동양고속)" xfId="1831" xr:uid="{00000000-0005-0000-0000-0000B10B0000}"/>
    <cellStyle name="_장성IC투찰_합덕-신례원(2공구)투찰_합덕-신례원(2공구)투찰_봉무지방산업단지도로(투찰)②_마현생창(동양고속)_예정공정표" xfId="1832" xr:uid="{00000000-0005-0000-0000-0000B20B0000}"/>
    <cellStyle name="_장성IC투찰_합덕-신례원(2공구)투찰_합덕-신례원(2공구)투찰_봉무지방산업단지도로(투찰)②_마현생창(동양고속)_왜관-태평건설" xfId="1833" xr:uid="{00000000-0005-0000-0000-0000B30B0000}"/>
    <cellStyle name="_장성IC투찰_합덕-신례원(2공구)투찰_합덕-신례원(2공구)투찰_봉무지방산업단지도로(투찰)②_마현생창(동양고속)_왜관-태평건설_예정공정표" xfId="1834" xr:uid="{00000000-0005-0000-0000-0000B40B0000}"/>
    <cellStyle name="_장성IC투찰_합덕-신례원(2공구)투찰_합덕-신례원(2공구)투찰_봉무지방산업단지도로(투찰)②_예정공정표" xfId="1835" xr:uid="{00000000-0005-0000-0000-0000B50B0000}"/>
    <cellStyle name="_장성IC투찰_합덕-신례원(2공구)투찰_합덕-신례원(2공구)투찰_봉무지방산업단지도로(투찰)②_왜관-태평건설" xfId="1836" xr:uid="{00000000-0005-0000-0000-0000B60B0000}"/>
    <cellStyle name="_장성IC투찰_합덕-신례원(2공구)투찰_합덕-신례원(2공구)투찰_봉무지방산업단지도로(투찰)②_왜관-태평건설_예정공정표" xfId="1837" xr:uid="{00000000-0005-0000-0000-0000B70B0000}"/>
    <cellStyle name="_장성IC투찰_합덕-신례원(2공구)투찰_합덕-신례원(2공구)투찰_봉무지방산업단지도로(투찰)②+0.250%" xfId="1838" xr:uid="{00000000-0005-0000-0000-0000B80B0000}"/>
    <cellStyle name="_장성IC투찰_합덕-신례원(2공구)투찰_합덕-신례원(2공구)투찰_봉무지방산업단지도로(투찰)②+0.250%_마현생창(동양고속)" xfId="1839" xr:uid="{00000000-0005-0000-0000-0000B90B0000}"/>
    <cellStyle name="_장성IC투찰_합덕-신례원(2공구)투찰_합덕-신례원(2공구)투찰_봉무지방산업단지도로(투찰)②+0.250%_마현생창(동양고속)_예정공정표" xfId="1840" xr:uid="{00000000-0005-0000-0000-0000BA0B0000}"/>
    <cellStyle name="_장성IC투찰_합덕-신례원(2공구)투찰_합덕-신례원(2공구)투찰_봉무지방산업단지도로(투찰)②+0.250%_마현생창(동양고속)_왜관-태평건설" xfId="1841" xr:uid="{00000000-0005-0000-0000-0000BB0B0000}"/>
    <cellStyle name="_장성IC투찰_합덕-신례원(2공구)투찰_합덕-신례원(2공구)투찰_봉무지방산업단지도로(투찰)②+0.250%_마현생창(동양고속)_왜관-태평건설_예정공정표" xfId="1842" xr:uid="{00000000-0005-0000-0000-0000BC0B0000}"/>
    <cellStyle name="_장성IC투찰_합덕-신례원(2공구)투찰_합덕-신례원(2공구)투찰_봉무지방산업단지도로(투찰)②+0.250%_예정공정표" xfId="1843" xr:uid="{00000000-0005-0000-0000-0000BD0B0000}"/>
    <cellStyle name="_장성IC투찰_합덕-신례원(2공구)투찰_합덕-신례원(2공구)투찰_봉무지방산업단지도로(투찰)②+0.250%_왜관-태평건설" xfId="1844" xr:uid="{00000000-0005-0000-0000-0000BE0B0000}"/>
    <cellStyle name="_장성IC투찰_합덕-신례원(2공구)투찰_합덕-신례원(2공구)투찰_봉무지방산업단지도로(투찰)②+0.250%_왜관-태평건설_예정공정표" xfId="1845" xr:uid="{00000000-0005-0000-0000-0000BF0B0000}"/>
    <cellStyle name="_장성IC투찰_합덕-신례원(2공구)투찰_합덕-신례원(2공구)투찰_예정공정표" xfId="1846" xr:uid="{00000000-0005-0000-0000-0000C00B0000}"/>
    <cellStyle name="_장성IC투찰_합덕-신례원(2공구)투찰_합덕-신례원(2공구)투찰_왜관-태평건설" xfId="1847" xr:uid="{00000000-0005-0000-0000-0000C10B0000}"/>
    <cellStyle name="_장성IC투찰_합덕-신례원(2공구)투찰_합덕-신례원(2공구)투찰_왜관-태평건설_예정공정표" xfId="1848" xr:uid="{00000000-0005-0000-0000-0000C20B0000}"/>
    <cellStyle name="_장성초등학교" xfId="1752" xr:uid="{00000000-0005-0000-0000-0000C30B0000}"/>
    <cellStyle name="_장현중(내역서+개요)" xfId="1849" xr:uid="{00000000-0005-0000-0000-0000C40B0000}"/>
    <cellStyle name="_재료비" xfId="3816" xr:uid="{00000000-0005-0000-0000-0000C50B0000}"/>
    <cellStyle name="_적격 " xfId="1850" xr:uid="{00000000-0005-0000-0000-0000C60B0000}"/>
    <cellStyle name="_적격 _1차1회변경" xfId="1851" xr:uid="{00000000-0005-0000-0000-0000C70B0000}"/>
    <cellStyle name="_적격 _6월기성" xfId="3817" xr:uid="{00000000-0005-0000-0000-0000C80B0000}"/>
    <cellStyle name="_적격 _6월기성_원등수량" xfId="3818" xr:uid="{00000000-0005-0000-0000-0000C90B0000}"/>
    <cellStyle name="_적격 _당진대전-5 설투견" xfId="3819" xr:uid="{00000000-0005-0000-0000-0000CA0B0000}"/>
    <cellStyle name="_적격 _당진대전-5 설투견_6월기성" xfId="3820" xr:uid="{00000000-0005-0000-0000-0000CB0B0000}"/>
    <cellStyle name="_적격 _당진대전-5 설투견_6월기성_원등수량" xfId="3821" xr:uid="{00000000-0005-0000-0000-0000CC0B0000}"/>
    <cellStyle name="_적격 _당진대전-5 설투견_원등수량" xfId="3822" xr:uid="{00000000-0005-0000-0000-0000CD0B0000}"/>
    <cellStyle name="_적격 _도급내역(전체분)" xfId="1852" xr:uid="{00000000-0005-0000-0000-0000CE0B0000}"/>
    <cellStyle name="_적격 _도급내역(전체분)_복사본 총괄1회변경" xfId="1853" xr:uid="{00000000-0005-0000-0000-0000CF0B0000}"/>
    <cellStyle name="_적격 _도급내역(전체분)_총괄1회변경" xfId="1854" xr:uid="{00000000-0005-0000-0000-0000D00B0000}"/>
    <cellStyle name="_적격 _도급내역(토공)" xfId="1855" xr:uid="{00000000-0005-0000-0000-0000D10B0000}"/>
    <cellStyle name="_적격 _설계변경내역서(1회총괄)" xfId="1856" xr:uid="{00000000-0005-0000-0000-0000D20B0000}"/>
    <cellStyle name="_적격 _설계변경앞지" xfId="1857" xr:uid="{00000000-0005-0000-0000-0000D30B0000}"/>
    <cellStyle name="_적격 _설계변경앞지(2차)" xfId="1858" xr:uid="{00000000-0005-0000-0000-0000D40B0000}"/>
    <cellStyle name="_적격 _설계변경앞지(총괄)" xfId="1859" xr:uid="{00000000-0005-0000-0000-0000D50B0000}"/>
    <cellStyle name="_적격 _설계변경총괄(토목,건축,기계,조경)01" xfId="1860" xr:uid="{00000000-0005-0000-0000-0000D60B0000}"/>
    <cellStyle name="_적격 _설계변경총괄(토목,건축,기계,조경)02" xfId="1861" xr:uid="{00000000-0005-0000-0000-0000D70B0000}"/>
    <cellStyle name="_적격 _예정공정표" xfId="1862" xr:uid="{00000000-0005-0000-0000-0000D80B0000}"/>
    <cellStyle name="_적격 _원등수량" xfId="3823" xr:uid="{00000000-0005-0000-0000-0000D90B0000}"/>
    <cellStyle name="_적격 _작업" xfId="1863" xr:uid="{00000000-0005-0000-0000-0000DA0B0000}"/>
    <cellStyle name="_적격 _제잡비계산서" xfId="1864" xr:uid="{00000000-0005-0000-0000-0000DB0B0000}"/>
    <cellStyle name="_적격 _증평1차내역" xfId="1865" xr:uid="{00000000-0005-0000-0000-0000DC0B0000}"/>
    <cellStyle name="_적격 _증평1차내역_1차1회변경" xfId="1866" xr:uid="{00000000-0005-0000-0000-0000DD0B0000}"/>
    <cellStyle name="_적격 _증평1차내역_1차1회변경_예정공정표" xfId="1867" xr:uid="{00000000-0005-0000-0000-0000DE0B0000}"/>
    <cellStyle name="_적격 _증평1차내역_예정공정표" xfId="1868" xr:uid="{00000000-0005-0000-0000-0000DF0B0000}"/>
    <cellStyle name="_적격 _증평1차내역_총괄1회변경" xfId="1869" xr:uid="{00000000-0005-0000-0000-0000E00B0000}"/>
    <cellStyle name="_적격 _집행갑지 " xfId="1870" xr:uid="{00000000-0005-0000-0000-0000E10B0000}"/>
    <cellStyle name="_적격 _집행갑지 _1차1회변경" xfId="1871" xr:uid="{00000000-0005-0000-0000-0000E20B0000}"/>
    <cellStyle name="_적격 _집행갑지 _6월기성" xfId="3824" xr:uid="{00000000-0005-0000-0000-0000E30B0000}"/>
    <cellStyle name="_적격 _집행갑지 _6월기성_원등수량" xfId="3825" xr:uid="{00000000-0005-0000-0000-0000E40B0000}"/>
    <cellStyle name="_적격 _집행갑지 _당진대전-5 설투견" xfId="3826" xr:uid="{00000000-0005-0000-0000-0000E50B0000}"/>
    <cellStyle name="_적격 _집행갑지 _당진대전-5 설투견_6월기성" xfId="3827" xr:uid="{00000000-0005-0000-0000-0000E60B0000}"/>
    <cellStyle name="_적격 _집행갑지 _당진대전-5 설투견_6월기성_원등수량" xfId="3828" xr:uid="{00000000-0005-0000-0000-0000E70B0000}"/>
    <cellStyle name="_적격 _집행갑지 _당진대전-5 설투견_원등수량" xfId="3829" xr:uid="{00000000-0005-0000-0000-0000E80B0000}"/>
    <cellStyle name="_적격 _집행갑지 _도급내역(전체분)" xfId="1872" xr:uid="{00000000-0005-0000-0000-0000E90B0000}"/>
    <cellStyle name="_적격 _집행갑지 _도급내역(전체분)_복사본 총괄1회변경" xfId="1873" xr:uid="{00000000-0005-0000-0000-0000EA0B0000}"/>
    <cellStyle name="_적격 _집행갑지 _도급내역(전체분)_총괄1회변경" xfId="1874" xr:uid="{00000000-0005-0000-0000-0000EB0B0000}"/>
    <cellStyle name="_적격 _집행갑지 _도급내역(토공)" xfId="1875" xr:uid="{00000000-0005-0000-0000-0000EC0B0000}"/>
    <cellStyle name="_적격 _집행갑지 _설계변경내역서(1회총괄)" xfId="1876" xr:uid="{00000000-0005-0000-0000-0000ED0B0000}"/>
    <cellStyle name="_적격 _집행갑지 _설계변경앞지" xfId="1877" xr:uid="{00000000-0005-0000-0000-0000EE0B0000}"/>
    <cellStyle name="_적격 _집행갑지 _설계변경앞지(2차)" xfId="1878" xr:uid="{00000000-0005-0000-0000-0000EF0B0000}"/>
    <cellStyle name="_적격 _집행갑지 _설계변경앞지(총괄)" xfId="1879" xr:uid="{00000000-0005-0000-0000-0000F00B0000}"/>
    <cellStyle name="_적격 _집행갑지 _설계변경총괄(토목,건축,기계,조경)01" xfId="1880" xr:uid="{00000000-0005-0000-0000-0000F10B0000}"/>
    <cellStyle name="_적격 _집행갑지 _설계변경총괄(토목,건축,기계,조경)02" xfId="1881" xr:uid="{00000000-0005-0000-0000-0000F20B0000}"/>
    <cellStyle name="_적격 _집행갑지 _예정공정표" xfId="1882" xr:uid="{00000000-0005-0000-0000-0000F30B0000}"/>
    <cellStyle name="_적격 _집행갑지 _원등수량" xfId="3830" xr:uid="{00000000-0005-0000-0000-0000F40B0000}"/>
    <cellStyle name="_적격 _집행갑지 _작업" xfId="1883" xr:uid="{00000000-0005-0000-0000-0000F50B0000}"/>
    <cellStyle name="_적격 _집행갑지 _제잡비계산서" xfId="1884" xr:uid="{00000000-0005-0000-0000-0000F60B0000}"/>
    <cellStyle name="_적격 _집행갑지 _증평1차내역" xfId="1885" xr:uid="{00000000-0005-0000-0000-0000F70B0000}"/>
    <cellStyle name="_적격 _집행갑지 _증평1차내역_1차1회변경" xfId="1886" xr:uid="{00000000-0005-0000-0000-0000F80B0000}"/>
    <cellStyle name="_적격 _집행갑지 _증평1차내역_1차1회변경_예정공정표" xfId="1887" xr:uid="{00000000-0005-0000-0000-0000F90B0000}"/>
    <cellStyle name="_적격 _집행갑지 _증평1차내역_예정공정표" xfId="1888" xr:uid="{00000000-0005-0000-0000-0000FA0B0000}"/>
    <cellStyle name="_적격 _집행갑지 _증평1차내역_총괄1회변경" xfId="1889" xr:uid="{00000000-0005-0000-0000-0000FB0B0000}"/>
    <cellStyle name="_적격 _집행갑지 _총괄1회변경" xfId="1890" xr:uid="{00000000-0005-0000-0000-0000FC0B0000}"/>
    <cellStyle name="_적격 _집행설계분석 " xfId="3831" xr:uid="{00000000-0005-0000-0000-0000FD0B0000}"/>
    <cellStyle name="_적격 _집행설계분석 _6월기성" xfId="3832" xr:uid="{00000000-0005-0000-0000-0000FE0B0000}"/>
    <cellStyle name="_적격 _집행설계분석 _6월기성_원등수량" xfId="3833" xr:uid="{00000000-0005-0000-0000-0000FF0B0000}"/>
    <cellStyle name="_적격 _집행설계분석 _당진대전-5 설투견" xfId="3834" xr:uid="{00000000-0005-0000-0000-0000000C0000}"/>
    <cellStyle name="_적격 _집행설계분석 _당진대전-5 설투견_6월기성" xfId="3835" xr:uid="{00000000-0005-0000-0000-0000010C0000}"/>
    <cellStyle name="_적격 _집행설계분석 _당진대전-5 설투견_6월기성_원등수량" xfId="3836" xr:uid="{00000000-0005-0000-0000-0000020C0000}"/>
    <cellStyle name="_적격 _집행설계분석 _당진대전-5 설투견_원등수량" xfId="3837" xr:uid="{00000000-0005-0000-0000-0000030C0000}"/>
    <cellStyle name="_적격 _집행설계분석 _원등수량" xfId="3838" xr:uid="{00000000-0005-0000-0000-0000040C0000}"/>
    <cellStyle name="_적격 _총괄1회변경" xfId="1891" xr:uid="{00000000-0005-0000-0000-0000050C0000}"/>
    <cellStyle name="_적격(화산) " xfId="1892" xr:uid="{00000000-0005-0000-0000-0000060C0000}"/>
    <cellStyle name="_적격(화산) _(가)실행" xfId="3839" xr:uid="{00000000-0005-0000-0000-0000070C0000}"/>
    <cellStyle name="_적격(화산) _(가)실행_(가)실행" xfId="3840" xr:uid="{00000000-0005-0000-0000-0000080C0000}"/>
    <cellStyle name="_적격(화산) _(가)실행_(가)실행2" xfId="3841" xr:uid="{00000000-0005-0000-0000-0000090C0000}"/>
    <cellStyle name="_적격(화산) _(가)실행_중동성황(가)실행" xfId="3842" xr:uid="{00000000-0005-0000-0000-00000A0C0000}"/>
    <cellStyle name="_적격(화산) _1차1회변경" xfId="1893" xr:uid="{00000000-0005-0000-0000-00000B0C0000}"/>
    <cellStyle name="_적격(화산) _6월기성" xfId="3843" xr:uid="{00000000-0005-0000-0000-00000C0C0000}"/>
    <cellStyle name="_적격(화산) _6월기성_원등수량" xfId="3844" xr:uid="{00000000-0005-0000-0000-00000D0C0000}"/>
    <cellStyle name="_적격(화산) _가실행(공설운동장)" xfId="3845" xr:uid="{00000000-0005-0000-0000-00000E0C0000}"/>
    <cellStyle name="_적격(화산) _가실행(공설운동장)_(가)실행" xfId="3846" xr:uid="{00000000-0005-0000-0000-00000F0C0000}"/>
    <cellStyle name="_적격(화산) _가실행(공설운동장)_(가)실행2" xfId="3847" xr:uid="{00000000-0005-0000-0000-0000100C0000}"/>
    <cellStyle name="_적격(화산) _가실행(공설운동장)_중동성황(가)실행" xfId="3848" xr:uid="{00000000-0005-0000-0000-0000110C0000}"/>
    <cellStyle name="_적격(화산) _가실행(송탄IC)" xfId="3849" xr:uid="{00000000-0005-0000-0000-0000120C0000}"/>
    <cellStyle name="_적격(화산) _가실행(송탄IC)_(가)실행" xfId="3850" xr:uid="{00000000-0005-0000-0000-0000130C0000}"/>
    <cellStyle name="_적격(화산) _가실행(송탄IC)_(가)실행2" xfId="3851" xr:uid="{00000000-0005-0000-0000-0000140C0000}"/>
    <cellStyle name="_적격(화산) _가실행(송탄IC)_중동성황(가)실행" xfId="3852" xr:uid="{00000000-0005-0000-0000-0000150C0000}"/>
    <cellStyle name="_적격(화산) _당진대전-5 설투견" xfId="3853" xr:uid="{00000000-0005-0000-0000-0000160C0000}"/>
    <cellStyle name="_적격(화산) _당진대전-5 설투견_6월기성" xfId="3854" xr:uid="{00000000-0005-0000-0000-0000170C0000}"/>
    <cellStyle name="_적격(화산) _당진대전-5 설투견_6월기성_원등수량" xfId="3855" xr:uid="{00000000-0005-0000-0000-0000180C0000}"/>
    <cellStyle name="_적격(화산) _당진대전-5 설투견_원등수량" xfId="3856" xr:uid="{00000000-0005-0000-0000-0000190C0000}"/>
    <cellStyle name="_적격(화산) _도급내역(전체분)" xfId="1894" xr:uid="{00000000-0005-0000-0000-00001A0C0000}"/>
    <cellStyle name="_적격(화산) _도급내역(전체분)_복사본 총괄1회변경" xfId="1895" xr:uid="{00000000-0005-0000-0000-00001B0C0000}"/>
    <cellStyle name="_적격(화산) _도급내역(전체분)_총괄1회변경" xfId="1896" xr:uid="{00000000-0005-0000-0000-00001C0C0000}"/>
    <cellStyle name="_적격(화산) _도급내역(토공)" xfId="1897" xr:uid="{00000000-0005-0000-0000-00001D0C0000}"/>
    <cellStyle name="_적격(화산) _설계변경내역서(1회총괄)" xfId="1898" xr:uid="{00000000-0005-0000-0000-00001E0C0000}"/>
    <cellStyle name="_적격(화산) _설계변경앞지" xfId="1899" xr:uid="{00000000-0005-0000-0000-00001F0C0000}"/>
    <cellStyle name="_적격(화산) _설계변경앞지(2차)" xfId="1900" xr:uid="{00000000-0005-0000-0000-0000200C0000}"/>
    <cellStyle name="_적격(화산) _설계변경앞지(총괄)" xfId="1901" xr:uid="{00000000-0005-0000-0000-0000210C0000}"/>
    <cellStyle name="_적격(화산) _설계변경총괄(토목,건축,기계,조경)01" xfId="1902" xr:uid="{00000000-0005-0000-0000-0000220C0000}"/>
    <cellStyle name="_적격(화산) _설계변경총괄(토목,건축,기계,조경)02" xfId="1903" xr:uid="{00000000-0005-0000-0000-0000230C0000}"/>
    <cellStyle name="_적격(화산) _예정공정표" xfId="1904" xr:uid="{00000000-0005-0000-0000-0000240C0000}"/>
    <cellStyle name="_적격(화산) _원등수량" xfId="3857" xr:uid="{00000000-0005-0000-0000-0000250C0000}"/>
    <cellStyle name="_적격(화산) _작업" xfId="1905" xr:uid="{00000000-0005-0000-0000-0000260C0000}"/>
    <cellStyle name="_적격(화산) _제잡비계산서" xfId="1906" xr:uid="{00000000-0005-0000-0000-0000270C0000}"/>
    <cellStyle name="_적격(화산) _중동성황(가)실행" xfId="3858" xr:uid="{00000000-0005-0000-0000-0000280C0000}"/>
    <cellStyle name="_적격(화산) _중동성황(가)실행_(가)실행" xfId="3859" xr:uid="{00000000-0005-0000-0000-0000290C0000}"/>
    <cellStyle name="_적격(화산) _중동성황(가)실행_(가)실행2" xfId="3860" xr:uid="{00000000-0005-0000-0000-00002A0C0000}"/>
    <cellStyle name="_적격(화산) _중동성황(가)실행_중동성황(가)실행" xfId="3861" xr:uid="{00000000-0005-0000-0000-00002B0C0000}"/>
    <cellStyle name="_적격(화산) _중동-성황투찰(new)(발주자변경)" xfId="3862" xr:uid="{00000000-0005-0000-0000-00002C0C0000}"/>
    <cellStyle name="_적격(화산) _중동-성황투찰(new)(발주자변경)_(가)실행" xfId="3863" xr:uid="{00000000-0005-0000-0000-00002D0C0000}"/>
    <cellStyle name="_적격(화산) _중동-성황투찰(new)(발주자변경)_(가)실행2" xfId="3864" xr:uid="{00000000-0005-0000-0000-00002E0C0000}"/>
    <cellStyle name="_적격(화산) _중동-성황투찰(new)(발주자변경)_중동성황(가)실행" xfId="3865" xr:uid="{00000000-0005-0000-0000-00002F0C0000}"/>
    <cellStyle name="_적격(화산) _증평1차내역" xfId="1907" xr:uid="{00000000-0005-0000-0000-0000300C0000}"/>
    <cellStyle name="_적격(화산) _증평1차내역_1차1회변경" xfId="1908" xr:uid="{00000000-0005-0000-0000-0000310C0000}"/>
    <cellStyle name="_적격(화산) _증평1차내역_1차1회변경_예정공정표" xfId="1909" xr:uid="{00000000-0005-0000-0000-0000320C0000}"/>
    <cellStyle name="_적격(화산) _증평1차내역_예정공정표" xfId="1910" xr:uid="{00000000-0005-0000-0000-0000330C0000}"/>
    <cellStyle name="_적격(화산) _증평1차내역_총괄1회변경" xfId="1911" xr:uid="{00000000-0005-0000-0000-0000340C0000}"/>
    <cellStyle name="_적격(화산) _총괄1회변경" xfId="1912" xr:uid="{00000000-0005-0000-0000-0000350C0000}"/>
    <cellStyle name="_적격(화산) _토공및구조물" xfId="3866" xr:uid="{00000000-0005-0000-0000-0000360C0000}"/>
    <cellStyle name="_적격(화산) _토공및구조물_(가)실행" xfId="3867" xr:uid="{00000000-0005-0000-0000-0000370C0000}"/>
    <cellStyle name="_적격(화산) _토공및구조물_(가)실행2" xfId="3868" xr:uid="{00000000-0005-0000-0000-0000380C0000}"/>
    <cellStyle name="_적격(화산) _토공및구조물_중동성황(가)실행" xfId="3869" xr:uid="{00000000-0005-0000-0000-0000390C0000}"/>
    <cellStyle name="_적격(화산) _토공및터널발주" xfId="3870" xr:uid="{00000000-0005-0000-0000-00003A0C0000}"/>
    <cellStyle name="_적격(화산) _토공및터널발주분내역서1" xfId="3871" xr:uid="{00000000-0005-0000-0000-00003B0C0000}"/>
    <cellStyle name="_전기공사" xfId="3872" xr:uid="{00000000-0005-0000-0000-00003C0C0000}"/>
    <cellStyle name="_전기공사실정보고내역" xfId="3873" xr:uid="{00000000-0005-0000-0000-00003D0C0000}"/>
    <cellStyle name="_전기공사원가, 단가대비" xfId="1913" xr:uid="{00000000-0005-0000-0000-00003E0C0000}"/>
    <cellStyle name="_전기관급총괄" xfId="1914" xr:uid="{00000000-0005-0000-0000-00003F0C0000}"/>
    <cellStyle name="_전기내역서" xfId="1915" xr:uid="{00000000-0005-0000-0000-0000400C0000}"/>
    <cellStyle name="_전기내역서-박곡리" xfId="1916" xr:uid="{00000000-0005-0000-0000-0000410C0000}"/>
    <cellStyle name="_전기부문내역서-수정분0131" xfId="1917" xr:uid="{00000000-0005-0000-0000-0000420C0000}"/>
    <cellStyle name="_전기산출서(0127)" xfId="1918" xr:uid="{00000000-0005-0000-0000-0000430C0000}"/>
    <cellStyle name="_전기설계서1" xfId="3874" xr:uid="{00000000-0005-0000-0000-0000440C0000}"/>
    <cellStyle name="_전기설비" xfId="3875" xr:uid="{00000000-0005-0000-0000-0000450C0000}"/>
    <cellStyle name="_전기실정보고건" xfId="3876" xr:uid="{00000000-0005-0000-0000-0000460C0000}"/>
    <cellStyle name="_전기원가" xfId="1919" xr:uid="{00000000-0005-0000-0000-0000470C0000}"/>
    <cellStyle name="_전남도청사최종납품" xfId="3877" xr:uid="{00000000-0005-0000-0000-0000480C0000}"/>
    <cellStyle name="_전남도청사최종납품(작업이)2" xfId="3878" xr:uid="{00000000-0005-0000-0000-0000490C0000}"/>
    <cellStyle name="_전시show case내역서09(1).12" xfId="3880" xr:uid="{00000000-0005-0000-0000-00004A0C0000}"/>
    <cellStyle name="_전시용영상HW" xfId="3879" xr:uid="{00000000-0005-0000-0000-00004B0C0000}"/>
    <cellStyle name="_전자지불(삼성SDS)" xfId="3881" xr:uid="{00000000-0005-0000-0000-00004C0C0000}"/>
    <cellStyle name="_전자지불-(케이비)" xfId="3882" xr:uid="{00000000-0005-0000-0000-00004D0C0000}"/>
    <cellStyle name="_전체실행(현장)(자재비포함)" xfId="3883" xr:uid="{00000000-0005-0000-0000-00004E0C0000}"/>
    <cellStyle name="_정보SW1" xfId="3885" xr:uid="{00000000-0005-0000-0000-00004F0C0000}"/>
    <cellStyle name="_정보관건축내역(2층완성)" xfId="1920" xr:uid="{00000000-0005-0000-0000-0000500C0000}"/>
    <cellStyle name="_정보통신-광통신망관리(050214)" xfId="3884" xr:uid="{00000000-0005-0000-0000-0000510C0000}"/>
    <cellStyle name="_제일은행하계근무복" xfId="3886" xr:uid="{00000000-0005-0000-0000-0000520C0000}"/>
    <cellStyle name="_제작업체견적(스테이지넷)" xfId="3887" xr:uid="{00000000-0005-0000-0000-0000530C0000}"/>
    <cellStyle name="_제잡비계산서" xfId="1921" xr:uid="{00000000-0005-0000-0000-0000540C0000}"/>
    <cellStyle name="_제조원가-1" xfId="3888" xr:uid="{00000000-0005-0000-0000-0000550C0000}"/>
    <cellStyle name="_제주물항" xfId="1922" xr:uid="{00000000-0005-0000-0000-0000560C0000}"/>
    <cellStyle name="_제주한화콘도" xfId="3889" xr:uid="{00000000-0005-0000-0000-0000570C0000}"/>
    <cellStyle name="_제출내역서" xfId="3890" xr:uid="{00000000-0005-0000-0000-0000580C0000}"/>
    <cellStyle name="_조목스크린-제작" xfId="3891" xr:uid="{00000000-0005-0000-0000-0000590C0000}"/>
    <cellStyle name="_조합견적" xfId="3892" xr:uid="{00000000-0005-0000-0000-00005A0C0000}"/>
    <cellStyle name="_주덕투찰내역서" xfId="3893" xr:uid="{00000000-0005-0000-0000-00005B0C0000}"/>
    <cellStyle name="_주유소 내역최종12.11" xfId="1923" xr:uid="{00000000-0005-0000-0000-00005C0C0000}"/>
    <cellStyle name="_주택견적서-0813-DNGSOLAR" xfId="3894" xr:uid="{00000000-0005-0000-0000-00005D0C0000}"/>
    <cellStyle name="_준공내역서(전체)" xfId="1924" xr:uid="{00000000-0005-0000-0000-00005E0C0000}"/>
    <cellStyle name="_중동AKPC방" xfId="3895" xr:uid="{00000000-0005-0000-0000-00005F0C0000}"/>
    <cellStyle name="_중부지역본부-" xfId="3896" xr:uid="{00000000-0005-0000-0000-0000600C0000}"/>
    <cellStyle name="_증권예탁원_퇴직연금시스템_구축_요약_Ver2" xfId="3906" xr:uid="{00000000-0005-0000-0000-0000610C0000}"/>
    <cellStyle name="_증평1차내역" xfId="1925" xr:uid="{00000000-0005-0000-0000-0000620C0000}"/>
    <cellStyle name="_증평1차내역_1차1회변경" xfId="1926" xr:uid="{00000000-0005-0000-0000-0000630C0000}"/>
    <cellStyle name="_증평1차내역_1차1회변경_예정공정표" xfId="1927" xr:uid="{00000000-0005-0000-0000-0000640C0000}"/>
    <cellStyle name="_증평1차내역_예정공정표" xfId="1928" xr:uid="{00000000-0005-0000-0000-0000650C0000}"/>
    <cellStyle name="_증평1차내역_총괄1회변경" xfId="1929" xr:uid="{00000000-0005-0000-0000-0000660C0000}"/>
    <cellStyle name="_지케이넷구리원가" xfId="3907" xr:uid="{00000000-0005-0000-0000-0000670C0000}"/>
    <cellStyle name="_직접경비" xfId="3908" xr:uid="{00000000-0005-0000-0000-0000680C0000}"/>
    <cellStyle name="_진흥콘크리트 원가" xfId="1930" xr:uid="{00000000-0005-0000-0000-0000690C0000}"/>
    <cellStyle name="_집계표" xfId="3909" xr:uid="{00000000-0005-0000-0000-00006A0C0000}"/>
    <cellStyle name="_집행갑지 " xfId="1931" xr:uid="{00000000-0005-0000-0000-00006B0C0000}"/>
    <cellStyle name="_집행갑지 _1차1회변경" xfId="1932" xr:uid="{00000000-0005-0000-0000-00006C0C0000}"/>
    <cellStyle name="_집행갑지 _6월기성" xfId="3910" xr:uid="{00000000-0005-0000-0000-00006D0C0000}"/>
    <cellStyle name="_집행갑지 _6월기성_원등수량" xfId="3911" xr:uid="{00000000-0005-0000-0000-00006E0C0000}"/>
    <cellStyle name="_집행갑지 _당진대전-5 설투견" xfId="3912" xr:uid="{00000000-0005-0000-0000-00006F0C0000}"/>
    <cellStyle name="_집행갑지 _당진대전-5 설투견_6월기성" xfId="3913" xr:uid="{00000000-0005-0000-0000-0000700C0000}"/>
    <cellStyle name="_집행갑지 _당진대전-5 설투견_6월기성_원등수량" xfId="3914" xr:uid="{00000000-0005-0000-0000-0000710C0000}"/>
    <cellStyle name="_집행갑지 _당진대전-5 설투견_원등수량" xfId="3915" xr:uid="{00000000-0005-0000-0000-0000720C0000}"/>
    <cellStyle name="_집행갑지 _도급내역(전체분)" xfId="1933" xr:uid="{00000000-0005-0000-0000-0000730C0000}"/>
    <cellStyle name="_집행갑지 _도급내역(전체분)_복사본 총괄1회변경" xfId="1934" xr:uid="{00000000-0005-0000-0000-0000740C0000}"/>
    <cellStyle name="_집행갑지 _도급내역(전체분)_총괄1회변경" xfId="1935" xr:uid="{00000000-0005-0000-0000-0000750C0000}"/>
    <cellStyle name="_집행갑지 _도급내역(토공)" xfId="1936" xr:uid="{00000000-0005-0000-0000-0000760C0000}"/>
    <cellStyle name="_집행갑지 _설계변경내역서(1회총괄)" xfId="1937" xr:uid="{00000000-0005-0000-0000-0000770C0000}"/>
    <cellStyle name="_집행갑지 _설계변경앞지" xfId="1938" xr:uid="{00000000-0005-0000-0000-0000780C0000}"/>
    <cellStyle name="_집행갑지 _설계변경앞지(2차)" xfId="1939" xr:uid="{00000000-0005-0000-0000-0000790C0000}"/>
    <cellStyle name="_집행갑지 _설계변경앞지(총괄)" xfId="1940" xr:uid="{00000000-0005-0000-0000-00007A0C0000}"/>
    <cellStyle name="_집행갑지 _설계변경총괄(토목,건축,기계,조경)01" xfId="1941" xr:uid="{00000000-0005-0000-0000-00007B0C0000}"/>
    <cellStyle name="_집행갑지 _설계변경총괄(토목,건축,기계,조경)02" xfId="1942" xr:uid="{00000000-0005-0000-0000-00007C0C0000}"/>
    <cellStyle name="_집행갑지 _예정공정표" xfId="1943" xr:uid="{00000000-0005-0000-0000-00007D0C0000}"/>
    <cellStyle name="_집행갑지 _원등수량" xfId="3916" xr:uid="{00000000-0005-0000-0000-00007E0C0000}"/>
    <cellStyle name="_집행갑지 _작업" xfId="1944" xr:uid="{00000000-0005-0000-0000-00007F0C0000}"/>
    <cellStyle name="_집행갑지 _제잡비계산서" xfId="1945" xr:uid="{00000000-0005-0000-0000-0000800C0000}"/>
    <cellStyle name="_집행갑지 _증평1차내역" xfId="1946" xr:uid="{00000000-0005-0000-0000-0000810C0000}"/>
    <cellStyle name="_집행갑지 _증평1차내역_1차1회변경" xfId="1947" xr:uid="{00000000-0005-0000-0000-0000820C0000}"/>
    <cellStyle name="_집행갑지 _증평1차내역_1차1회변경_예정공정표" xfId="1948" xr:uid="{00000000-0005-0000-0000-0000830C0000}"/>
    <cellStyle name="_집행갑지 _증평1차내역_예정공정표" xfId="1949" xr:uid="{00000000-0005-0000-0000-0000840C0000}"/>
    <cellStyle name="_집행갑지 _증평1차내역_총괄1회변경" xfId="1950" xr:uid="{00000000-0005-0000-0000-0000850C0000}"/>
    <cellStyle name="_집행갑지 _총괄1회변경" xfId="1951" xr:uid="{00000000-0005-0000-0000-0000860C0000}"/>
    <cellStyle name="_집행내역(대구여고)" xfId="1952" xr:uid="{00000000-0005-0000-0000-0000870C0000}"/>
    <cellStyle name="_차량등록사업소- 전기내역서" xfId="1953" xr:uid="{00000000-0005-0000-0000-0000880C0000}"/>
    <cellStyle name="_착공계제출" xfId="3917" xr:uid="{00000000-0005-0000-0000-0000890C0000}"/>
    <cellStyle name="_착공계제출_6월기성" xfId="3918" xr:uid="{00000000-0005-0000-0000-00008A0C0000}"/>
    <cellStyle name="_착공계제출_6월기성_원등수량" xfId="3919" xr:uid="{00000000-0005-0000-0000-00008B0C0000}"/>
    <cellStyle name="_착공계제출_원등수량" xfId="3920" xr:uid="{00000000-0005-0000-0000-00008C0C0000}"/>
    <cellStyle name="_착공내역서(용인2차)" xfId="3921" xr:uid="{00000000-0005-0000-0000-00008D0C0000}"/>
    <cellStyle name="_착공내역서(용인2차)_부산대학교-연구동(샘플)" xfId="3922" xr:uid="{00000000-0005-0000-0000-00008E0C0000}"/>
    <cellStyle name="_창(에리트(설치제외)" xfId="3923" xr:uid="{00000000-0005-0000-0000-00008F0C0000}"/>
    <cellStyle name="_창원상수도(투찰)-0.815%" xfId="1954" xr:uid="{00000000-0005-0000-0000-0000900C0000}"/>
    <cellStyle name="_책상 및 의자 4종(전송)" xfId="3924" xr:uid="{00000000-0005-0000-0000-0000910C0000}"/>
    <cellStyle name="_천안 삼성코닝 SP 납품(대선기공)" xfId="3925" xr:uid="{00000000-0005-0000-0000-0000920C0000}"/>
    <cellStyle name="_천체투영실설치공사" xfId="1955" xr:uid="{00000000-0005-0000-0000-0000930C0000}"/>
    <cellStyle name="_첨단가로등" xfId="1956" xr:uid="{00000000-0005-0000-0000-0000940C0000}"/>
    <cellStyle name="_청계천문화관-시설관리" xfId="3926" xr:uid="{00000000-0005-0000-0000-0000950C0000}"/>
    <cellStyle name="_청문당 내역보완" xfId="3927" xr:uid="{00000000-0005-0000-0000-0000960C0000}"/>
    <cellStyle name="_청소년수련관산출근거조서" xfId="3928" xr:uid="{00000000-0005-0000-0000-0000970C0000}"/>
    <cellStyle name="_청소년수련관산출근거조서_1" xfId="3929" xr:uid="{00000000-0005-0000-0000-0000980C0000}"/>
    <cellStyle name="_청소년수련관일위대가" xfId="3930" xr:uid="{00000000-0005-0000-0000-0000990C0000}"/>
    <cellStyle name="_청소년수련관일위대가_1" xfId="3931" xr:uid="{00000000-0005-0000-0000-00009A0C0000}"/>
    <cellStyle name="_총괄(최종)" xfId="3932" xr:uid="{00000000-0005-0000-0000-00009B0C0000}"/>
    <cellStyle name="_총괄1회변경" xfId="1957" xr:uid="{00000000-0005-0000-0000-00009C0C0000}"/>
    <cellStyle name="_최종내역(공사)" xfId="3933" xr:uid="{00000000-0005-0000-0000-00009D0C0000}"/>
    <cellStyle name="_최종내역(자재)" xfId="3934" xr:uid="{00000000-0005-0000-0000-00009E0C0000}"/>
    <cellStyle name="_최종-황순원산출서" xfId="3935" xr:uid="{00000000-0005-0000-0000-00009F0C0000}"/>
    <cellStyle name="_추가내역서" xfId="3936" xr:uid="{00000000-0005-0000-0000-0000A00C0000}"/>
    <cellStyle name="_추정금액" xfId="1958" xr:uid="{00000000-0005-0000-0000-0000A10C0000}"/>
    <cellStyle name="_춘천전화국증축통신+개요" xfId="1959" xr:uid="{00000000-0005-0000-0000-0000A20C0000}"/>
    <cellStyle name="_춘천합동내역+개요(수정한최종)" xfId="1960" xr:uid="{00000000-0005-0000-0000-0000A30C0000}"/>
    <cellStyle name="_충무1.민속박물관(설치-충무)" xfId="3937" xr:uid="{00000000-0005-0000-0000-0000A40C0000}"/>
    <cellStyle name="_충청지역본부-" xfId="3938" xr:uid="{00000000-0005-0000-0000-0000A50C0000}"/>
    <cellStyle name="_충효예(장비)(1)-류빈" xfId="3939" xr:uid="{00000000-0005-0000-0000-0000A60C0000}"/>
    <cellStyle name="_치과진료동(전기)" xfId="1961" xr:uid="{00000000-0005-0000-0000-0000A70C0000}"/>
    <cellStyle name="_칠서도로2000-1225" xfId="3940" xr:uid="{00000000-0005-0000-0000-0000A80C0000}"/>
    <cellStyle name="_칠서영산" xfId="3941" xr:uid="{00000000-0005-0000-0000-0000A90C0000}"/>
    <cellStyle name="_칠서영산_공무정산양식(10월초)" xfId="3942" xr:uid="{00000000-0005-0000-0000-0000AA0C0000}"/>
    <cellStyle name="_칠서영산_공무정산양식(10월초)_기성내역서" xfId="3943" xr:uid="{00000000-0005-0000-0000-0000AB0C0000}"/>
    <cellStyle name="_칠서영산_공무정산양식(10월초)_기성내역서_전체계약변경(03)" xfId="3944" xr:uid="{00000000-0005-0000-0000-0000AC0C0000}"/>
    <cellStyle name="_칠서영산_공무정산양식(10월초)_전체계약변경(03)" xfId="3945" xr:uid="{00000000-0005-0000-0000-0000AD0C0000}"/>
    <cellStyle name="_칠서영산_공무정산양식(10월초)_포장외건(최종)" xfId="3946" xr:uid="{00000000-0005-0000-0000-0000AE0C0000}"/>
    <cellStyle name="_칠서영산_기성내역서" xfId="3947" xr:uid="{00000000-0005-0000-0000-0000AF0C0000}"/>
    <cellStyle name="_칠서영산_기성내역서_전체계약변경(03)" xfId="3948" xr:uid="{00000000-0005-0000-0000-0000B00C0000}"/>
    <cellStyle name="_칠서영산_전체계약변경(03)" xfId="3949" xr:uid="{00000000-0005-0000-0000-0000B10C0000}"/>
    <cellStyle name="_칠서영산_포장외건(최종)" xfId="3950" xr:uid="{00000000-0005-0000-0000-0000B20C0000}"/>
    <cellStyle name="_침상, 관물함3" xfId="3951" xr:uid="{00000000-0005-0000-0000-0000B30C0000}"/>
    <cellStyle name="_침입감시 견적서" xfId="1962" xr:uid="{00000000-0005-0000-0000-0000B40C0000}"/>
    <cellStyle name="_코스모스씨앤티(손익계산서,제조원가명세서)" xfId="3952" xr:uid="{00000000-0005-0000-0000-0000B50C0000}"/>
    <cellStyle name="_타견적" xfId="3953" xr:uid="{00000000-0005-0000-0000-0000B60C0000}"/>
    <cellStyle name="_태양광집계표" xfId="3954" xr:uid="{00000000-0005-0000-0000-0000B70C0000}"/>
    <cellStyle name="_터널부하계산서(최종본)" xfId="3955" xr:uid="{00000000-0005-0000-0000-0000B80C0000}"/>
    <cellStyle name="_터널진입차단시설(제조)" xfId="3956" xr:uid="{00000000-0005-0000-0000-0000B90C0000}"/>
    <cellStyle name="_테니스장(030922)" xfId="3957" xr:uid="{00000000-0005-0000-0000-0000BA0C0000}"/>
    <cellStyle name="_테마공사새로03" xfId="3958" xr:uid="{00000000-0005-0000-0000-0000BB0C0000}"/>
    <cellStyle name="_토공량" xfId="3959" xr:uid="{00000000-0005-0000-0000-0000BC0C0000}"/>
    <cellStyle name="_통신공사원가, 단가대비" xfId="1963" xr:uid="{00000000-0005-0000-0000-0000BD0C0000}"/>
    <cellStyle name="_통합국사트레이" xfId="3960" xr:uid="{00000000-0005-0000-0000-0000BE0C0000}"/>
    <cellStyle name="_통행료 전자지불 SW" xfId="3961" xr:uid="{00000000-0005-0000-0000-0000BF0C0000}"/>
    <cellStyle name="_통행료면탈방지시스템(최종)" xfId="3962" xr:uid="{00000000-0005-0000-0000-0000C00C0000}"/>
    <cellStyle name="_퇴직연금 기록관리 시스템" xfId="3964" xr:uid="{00000000-0005-0000-0000-0000C10C0000}"/>
    <cellStyle name="_파워콤간이공사관련" xfId="3965" xr:uid="{00000000-0005-0000-0000-0000C20C0000}"/>
    <cellStyle name="_팔각정자" xfId="3966" xr:uid="{00000000-0005-0000-0000-0000C30C0000}"/>
    <cellStyle name="_평택이동" xfId="3967" xr:uid="{00000000-0005-0000-0000-0000C40C0000}"/>
    <cellStyle name="_평화의댐내역서최종(OLD)" xfId="3968" xr:uid="{00000000-0005-0000-0000-0000C50C0000}"/>
    <cellStyle name="_폐기물" xfId="3969" xr:uid="{00000000-0005-0000-0000-0000C60C0000}"/>
    <cellStyle name="_표준 견적서 2003년" xfId="1964" xr:uid="{00000000-0005-0000-0000-0000C70C0000}"/>
    <cellStyle name="_표지" xfId="1965" xr:uid="{00000000-0005-0000-0000-0000C80C0000}"/>
    <cellStyle name="_표지 및 갑지" xfId="1966" xr:uid="{00000000-0005-0000-0000-0000C90C0000}"/>
    <cellStyle name="_표지 및 원가계산" xfId="1967" xr:uid="{00000000-0005-0000-0000-0000CA0C0000}"/>
    <cellStyle name="_표지," xfId="1968" xr:uid="{00000000-0005-0000-0000-0000CB0C0000}"/>
    <cellStyle name="_표지,갑지-헌병중대생활관(전기)" xfId="1969" xr:uid="{00000000-0005-0000-0000-0000CC0C0000}"/>
    <cellStyle name="_표지_1" xfId="1970" xr:uid="{00000000-0005-0000-0000-0000CD0C0000}"/>
    <cellStyle name="_표지_경산네거리" xfId="1971" xr:uid="{00000000-0005-0000-0000-0000CE0C0000}"/>
    <cellStyle name="_표지_국우터널철거0622" xfId="1972" xr:uid="{00000000-0005-0000-0000-0000CF0C0000}"/>
    <cellStyle name="_표지_도청이전지진입도로" xfId="1973" xr:uid="{00000000-0005-0000-0000-0000D00C0000}"/>
    <cellStyle name="_표지_본관전원이설및전기개보수내역서" xfId="1974" xr:uid="{00000000-0005-0000-0000-0000D10C0000}"/>
    <cellStyle name="_표지_성광고급식소(전기)0607" xfId="1975" xr:uid="{00000000-0005-0000-0000-0000D20C0000}"/>
    <cellStyle name="_표지_원가계산서-전기-전체" xfId="1976" xr:uid="{00000000-0005-0000-0000-0000D30C0000}"/>
    <cellStyle name="_표지_이방조명탑" xfId="5234" xr:uid="{00000000-0005-0000-0000-0000D40C0000}"/>
    <cellStyle name="_표지_자전거도로" xfId="1977" xr:uid="{00000000-0005-0000-0000-0000D50C0000}"/>
    <cellStyle name="_표지_증산수도계곡" xfId="1978" xr:uid="{00000000-0005-0000-0000-0000D60C0000}"/>
    <cellStyle name="_표지_집계표" xfId="3970" xr:uid="{00000000-0005-0000-0000-0000D70C0000}"/>
    <cellStyle name="_표지_캠프헨리동편가로등" xfId="1979" xr:uid="{00000000-0005-0000-0000-0000D80C0000}"/>
    <cellStyle name="_표지_표지 및 갑지" xfId="1980" xr:uid="{00000000-0005-0000-0000-0000D90C0000}"/>
    <cellStyle name="_표지_표지 및 원가계산" xfId="1981" xr:uid="{00000000-0005-0000-0000-0000DA0C0000}"/>
    <cellStyle name="_표지_표지,갑지-헌병중대생활관(전기)" xfId="1982" xr:uid="{00000000-0005-0000-0000-0000DB0C0000}"/>
    <cellStyle name="_표지_한전수수료" xfId="1983" xr:uid="{00000000-0005-0000-0000-0000DC0C0000}"/>
    <cellStyle name="_표지_한천초BTL(전기)-" xfId="1984" xr:uid="{00000000-0005-0000-0000-0000DD0C0000}"/>
    <cellStyle name="_표지_화원지구수해상습지가로등 - 1차분" xfId="1985" xr:uid="{00000000-0005-0000-0000-0000DE0C0000}"/>
    <cellStyle name="_표지및원가계산" xfId="1986" xr:uid="{00000000-0005-0000-0000-0000DF0C0000}"/>
    <cellStyle name="_하도급관리계획서" xfId="1987" xr:uid="{00000000-0005-0000-0000-0000E00C0000}"/>
    <cellStyle name="_하도급관리계획서_예정공정표" xfId="1988" xr:uid="{00000000-0005-0000-0000-0000E10C0000}"/>
    <cellStyle name="_하마1교-수량" xfId="3971" xr:uid="{00000000-0005-0000-0000-0000E20C0000}"/>
    <cellStyle name="_하마1교-수량_토공량" xfId="3972" xr:uid="{00000000-0005-0000-0000-0000E30C0000}"/>
    <cellStyle name="_하마2교-수량" xfId="3973" xr:uid="{00000000-0005-0000-0000-0000E40C0000}"/>
    <cellStyle name="_하마2교-수량_토공량" xfId="3974" xr:uid="{00000000-0005-0000-0000-0000E50C0000}"/>
    <cellStyle name="_하마읍3교대" xfId="3975" xr:uid="{00000000-0005-0000-0000-0000E60C0000}"/>
    <cellStyle name="_하마읍3교대_토공량" xfId="3976" xr:uid="{00000000-0005-0000-0000-0000E70C0000}"/>
    <cellStyle name="_하마읍3교토공" xfId="3977" xr:uid="{00000000-0005-0000-0000-0000E80C0000}"/>
    <cellStyle name="_하마읍3교토공_토공량" xfId="3978" xr:uid="{00000000-0005-0000-0000-0000E90C0000}"/>
    <cellStyle name="_하반기성과급인별LIST" xfId="3979" xr:uid="{00000000-0005-0000-0000-0000EA0C0000}"/>
    <cellStyle name="_하이패스 전자지불(050214)" xfId="3980" xr:uid="{00000000-0005-0000-0000-0000EB0C0000}"/>
    <cellStyle name="_하이패스(최종)" xfId="3981" xr:uid="{00000000-0005-0000-0000-0000EC0C0000}"/>
    <cellStyle name="_학생사물함18종" xfId="3982" xr:uid="{00000000-0005-0000-0000-0000ED0C0000}"/>
    <cellStyle name="_한강물환경생태 산출서" xfId="3983" xr:uid="{00000000-0005-0000-0000-0000EE0C0000}"/>
    <cellStyle name="_한미우석" xfId="3984" xr:uid="{00000000-0005-0000-0000-0000EF0C0000}"/>
    <cellStyle name="_한미우석_견적" xfId="3985" xr:uid="{00000000-0005-0000-0000-0000F00C0000}"/>
    <cellStyle name="_한미우석_계양등7개소" xfId="3986" xr:uid="{00000000-0005-0000-0000-0000F10C0000}"/>
    <cellStyle name="_한미우석_통합국사전원선" xfId="3987" xr:uid="{00000000-0005-0000-0000-0000F20C0000}"/>
    <cellStyle name="_한미우석_통합국사트레이" xfId="3988" xr:uid="{00000000-0005-0000-0000-0000F30C0000}"/>
    <cellStyle name="_한미우석_한미은행1" xfId="3989" xr:uid="{00000000-0005-0000-0000-0000F40C0000}"/>
    <cellStyle name="_한미우석_한미은행1_통합국사트레이" xfId="3990" xr:uid="{00000000-0005-0000-0000-0000F50C0000}"/>
    <cellStyle name="_한미우석_한미은행2" xfId="3991" xr:uid="{00000000-0005-0000-0000-0000F60C0000}"/>
    <cellStyle name="_한미우석_한미은행2_견적" xfId="3992" xr:uid="{00000000-0005-0000-0000-0000F70C0000}"/>
    <cellStyle name="_한미우석_한미은행2_통합국사트레이" xfId="3993" xr:uid="{00000000-0005-0000-0000-0000F80C0000}"/>
    <cellStyle name="_한미우석_한미은행본사" xfId="3994" xr:uid="{00000000-0005-0000-0000-0000F90C0000}"/>
    <cellStyle name="_한미우석_한미은행본사_견적" xfId="3995" xr:uid="{00000000-0005-0000-0000-0000FA0C0000}"/>
    <cellStyle name="_한미우석_한미은행본사_통합국사트레이" xfId="3996" xr:uid="{00000000-0005-0000-0000-0000FB0C0000}"/>
    <cellStyle name="_한미우석_한미은행본사1" xfId="3997" xr:uid="{00000000-0005-0000-0000-0000FC0C0000}"/>
    <cellStyle name="_한미우석_한미은행본사1_견적" xfId="3998" xr:uid="{00000000-0005-0000-0000-0000FD0C0000}"/>
    <cellStyle name="_한미우석_한미은행본사1_통합국사트레이" xfId="3999" xr:uid="{00000000-0005-0000-0000-0000FE0C0000}"/>
    <cellStyle name="_한미은행본사" xfId="4000" xr:uid="{00000000-0005-0000-0000-0000FF0C0000}"/>
    <cellStyle name="_한미은행본사_견적" xfId="4001" xr:uid="{00000000-0005-0000-0000-0000000D0000}"/>
    <cellStyle name="_한미은행본사_계양등7개소" xfId="4002" xr:uid="{00000000-0005-0000-0000-0000010D0000}"/>
    <cellStyle name="_한미은행본사_통합국사전원선" xfId="4003" xr:uid="{00000000-0005-0000-0000-0000020D0000}"/>
    <cellStyle name="_한미은행본사_통합국사트레이" xfId="4004" xr:uid="{00000000-0005-0000-0000-0000030D0000}"/>
    <cellStyle name="_한미은행본사_한미은행1" xfId="4005" xr:uid="{00000000-0005-0000-0000-0000040D0000}"/>
    <cellStyle name="_한미은행본사_한미은행1_통합국사트레이" xfId="4006" xr:uid="{00000000-0005-0000-0000-0000050D0000}"/>
    <cellStyle name="_한미은행본사_한미은행2" xfId="4007" xr:uid="{00000000-0005-0000-0000-0000060D0000}"/>
    <cellStyle name="_한미은행본사_한미은행2_견적" xfId="4008" xr:uid="{00000000-0005-0000-0000-0000070D0000}"/>
    <cellStyle name="_한미은행본사_한미은행2_통합국사트레이" xfId="4009" xr:uid="{00000000-0005-0000-0000-0000080D0000}"/>
    <cellStyle name="_한미은행본사_한미은행본사" xfId="4010" xr:uid="{00000000-0005-0000-0000-0000090D0000}"/>
    <cellStyle name="_한미은행본사_한미은행본사_견적" xfId="4011" xr:uid="{00000000-0005-0000-0000-00000A0D0000}"/>
    <cellStyle name="_한미은행본사_한미은행본사_통합국사트레이" xfId="4012" xr:uid="{00000000-0005-0000-0000-00000B0D0000}"/>
    <cellStyle name="_한미은행본사_한미은행본사1" xfId="4013" xr:uid="{00000000-0005-0000-0000-00000C0D0000}"/>
    <cellStyle name="_한미은행본사_한미은행본사1_견적" xfId="4014" xr:uid="{00000000-0005-0000-0000-00000D0D0000}"/>
    <cellStyle name="_한미은행본사_한미은행본사1_통합국사트레이" xfId="4015" xr:uid="{00000000-0005-0000-0000-00000E0D0000}"/>
    <cellStyle name="_한미케이블" xfId="4016" xr:uid="{00000000-0005-0000-0000-00000F0D0000}"/>
    <cellStyle name="_한미케이블_견적" xfId="4017" xr:uid="{00000000-0005-0000-0000-0000100D0000}"/>
    <cellStyle name="_한미케이블_계양등7개소" xfId="4018" xr:uid="{00000000-0005-0000-0000-0000110D0000}"/>
    <cellStyle name="_한미케이블_통합국사전원선" xfId="4019" xr:uid="{00000000-0005-0000-0000-0000120D0000}"/>
    <cellStyle name="_한미케이블_통합국사트레이" xfId="4020" xr:uid="{00000000-0005-0000-0000-0000130D0000}"/>
    <cellStyle name="_한미케이블_한미은행1" xfId="4021" xr:uid="{00000000-0005-0000-0000-0000140D0000}"/>
    <cellStyle name="_한미케이블_한미은행1_통합국사트레이" xfId="4022" xr:uid="{00000000-0005-0000-0000-0000150D0000}"/>
    <cellStyle name="_한미케이블_한미은행2" xfId="4023" xr:uid="{00000000-0005-0000-0000-0000160D0000}"/>
    <cellStyle name="_한미케이블_한미은행2_견적" xfId="4024" xr:uid="{00000000-0005-0000-0000-0000170D0000}"/>
    <cellStyle name="_한미케이블_한미은행2_통합국사트레이" xfId="4025" xr:uid="{00000000-0005-0000-0000-0000180D0000}"/>
    <cellStyle name="_한미케이블_한미은행본사" xfId="4026" xr:uid="{00000000-0005-0000-0000-0000190D0000}"/>
    <cellStyle name="_한미케이블_한미은행본사_견적" xfId="4027" xr:uid="{00000000-0005-0000-0000-00001A0D0000}"/>
    <cellStyle name="_한미케이블_한미은행본사_통합국사트레이" xfId="4028" xr:uid="{00000000-0005-0000-0000-00001B0D0000}"/>
    <cellStyle name="_한미케이블_한미은행본사1" xfId="4029" xr:uid="{00000000-0005-0000-0000-00001C0D0000}"/>
    <cellStyle name="_한미케이블_한미은행본사1_견적" xfId="4030" xr:uid="{00000000-0005-0000-0000-00001D0D0000}"/>
    <cellStyle name="_한미케이블_한미은행본사1_통합국사트레이" xfId="4031" xr:uid="{00000000-0005-0000-0000-00001E0D0000}"/>
    <cellStyle name="_한일청소년" xfId="4032" xr:uid="{00000000-0005-0000-0000-00001F0D0000}"/>
    <cellStyle name="_한전수수료" xfId="1989" xr:uid="{00000000-0005-0000-0000-0000200D0000}"/>
    <cellStyle name="_한전수수료_1" xfId="1990" xr:uid="{00000000-0005-0000-0000-0000210D0000}"/>
    <cellStyle name="_함지고수배전반내역서2222" xfId="1991" xr:uid="{00000000-0005-0000-0000-0000220D0000}"/>
    <cellStyle name="_함지고수배전반및분전반내역" xfId="1992" xr:uid="{00000000-0005-0000-0000-0000230D0000}"/>
    <cellStyle name="_함지고통신내역서" xfId="1993" xr:uid="{00000000-0005-0000-0000-0000240D0000}"/>
    <cellStyle name="_항측판독용역" xfId="4033" xr:uid="{00000000-0005-0000-0000-0000250D0000}"/>
    <cellStyle name="_해안초증축전체예산" xfId="1994" xr:uid="{00000000-0005-0000-0000-0000260D0000}"/>
    <cellStyle name="_헤이스견적서" xfId="4034" xr:uid="{00000000-0005-0000-0000-0000270D0000}"/>
    <cellStyle name="_현수막 추가" xfId="4035" xr:uid="{00000000-0005-0000-0000-0000280D0000}"/>
    <cellStyle name="_현풍김천2부대품의" xfId="4036" xr:uid="{00000000-0005-0000-0000-0000290D0000}"/>
    <cellStyle name="_현풍김천2부대품의_6월기성" xfId="4037" xr:uid="{00000000-0005-0000-0000-00002A0D0000}"/>
    <cellStyle name="_현풍김천2부대품의_6월기성_원등수량" xfId="4038" xr:uid="{00000000-0005-0000-0000-00002B0D0000}"/>
    <cellStyle name="_현풍김천2부대품의_원등수량" xfId="4039" xr:uid="{00000000-0005-0000-0000-00002C0D0000}"/>
    <cellStyle name="_현풍김천2부대현설" xfId="4040" xr:uid="{00000000-0005-0000-0000-00002D0D0000}"/>
    <cellStyle name="_현풍김천2부대현설_6월기성" xfId="4041" xr:uid="{00000000-0005-0000-0000-00002E0D0000}"/>
    <cellStyle name="_현풍김천2부대현설_6월기성_원등수량" xfId="4042" xr:uid="{00000000-0005-0000-0000-00002F0D0000}"/>
    <cellStyle name="_현풍김천2부대현설_원등수량" xfId="4043" xr:uid="{00000000-0005-0000-0000-0000300D0000}"/>
    <cellStyle name="_협력업체list" xfId="4044" xr:uid="{00000000-0005-0000-0000-0000310D0000}"/>
    <cellStyle name="_형광등기구최종-조일전기" xfId="4045" xr:uid="{00000000-0005-0000-0000-0000320D0000}"/>
    <cellStyle name="_호남선두계역외2개소연결통로" xfId="1995" xr:uid="{00000000-0005-0000-0000-0000330D0000}"/>
    <cellStyle name="_호남지역본부-" xfId="4046" xr:uid="{00000000-0005-0000-0000-0000340D0000}"/>
    <cellStyle name="_호남지역본부-20041220" xfId="4047" xr:uid="{00000000-0005-0000-0000-0000350D0000}"/>
    <cellStyle name="_호안블럭5종내역(노무비법)" xfId="4048" xr:uid="{00000000-0005-0000-0000-0000360D0000}"/>
    <cellStyle name="_홍대,화정견적" xfId="4049" xr:uid="{00000000-0005-0000-0000-0000370D0000}"/>
    <cellStyle name="_홍천(노천1지구)-1공구" xfId="4050" xr:uid="{00000000-0005-0000-0000-0000380D0000}"/>
    <cellStyle name="_홍천(노천1지구)-1공구_사본 - 하마2교-수량" xfId="4051" xr:uid="{00000000-0005-0000-0000-0000390D0000}"/>
    <cellStyle name="_홍천(노천1지구)-1공구_사본 - 하마2교-수량_토공량" xfId="4052" xr:uid="{00000000-0005-0000-0000-00003A0D0000}"/>
    <cellStyle name="_홍천(노천1지구)-1공구_토공량" xfId="4053" xr:uid="{00000000-0005-0000-0000-00003B0D0000}"/>
    <cellStyle name="_홍천(노천1지구)-1공구_하마1교-수량" xfId="4054" xr:uid="{00000000-0005-0000-0000-00003C0D0000}"/>
    <cellStyle name="_홍천(노천1지구)-1공구_하마1교-수량_토공량" xfId="4055" xr:uid="{00000000-0005-0000-0000-00003D0D0000}"/>
    <cellStyle name="_홍천(노천1지구)-1공구_하마2교-수량" xfId="4056" xr:uid="{00000000-0005-0000-0000-00003E0D0000}"/>
    <cellStyle name="_홍천(노천1지구)-1공구_하마2교-수량_토공량" xfId="4057" xr:uid="{00000000-0005-0000-0000-00003F0D0000}"/>
    <cellStyle name="_홍천(노천1지구)-1공구_하마읍3교대" xfId="4058" xr:uid="{00000000-0005-0000-0000-0000400D0000}"/>
    <cellStyle name="_홍천(노천1지구)-1공구_하마읍3교대_토공량" xfId="4059" xr:uid="{00000000-0005-0000-0000-0000410D0000}"/>
    <cellStyle name="_홍천(노천1지구)-1공구_하마읍3교토공" xfId="4060" xr:uid="{00000000-0005-0000-0000-0000420D0000}"/>
    <cellStyle name="_홍천(노천1지구)-1공구_하마읍3교토공_토공량" xfId="4061" xr:uid="{00000000-0005-0000-0000-0000430D0000}"/>
    <cellStyle name="_화동초-전기" xfId="1996" xr:uid="{00000000-0005-0000-0000-0000440D0000}"/>
    <cellStyle name="_화인견본" xfId="1997" xr:uid="{00000000-0005-0000-0000-0000450D0000}"/>
    <cellStyle name="_화장실내역" xfId="1998" xr:uid="{00000000-0005-0000-0000-0000460D0000}"/>
    <cellStyle name="_확약서" xfId="1999" xr:uid="{00000000-0005-0000-0000-0000470D0000}"/>
    <cellStyle name="_황산교회" xfId="2000" xr:uid="{00000000-0005-0000-0000-0000480D0000}"/>
    <cellStyle name="_휴대용바코드" xfId="4062" xr:uid="{00000000-0005-0000-0000-0000490D0000}"/>
    <cellStyle name="_흙막이공사(일위)" xfId="2001" xr:uid="{00000000-0005-0000-0000-00004A0D0000}"/>
    <cellStyle name="¡¾¨u￠￢ⓒ÷A¨u," xfId="4094" xr:uid="{00000000-0005-0000-0000-00004B0D0000}"/>
    <cellStyle name="¡E￠￥@?e_TEST-1 " xfId="4095" xr:uid="{00000000-0005-0000-0000-00004C0D0000}"/>
    <cellStyle name="´þ·?" xfId="2004" xr:uid="{00000000-0005-0000-0000-00004D0D0000}"/>
    <cellStyle name="’E‰Y [0.00]_laroux" xfId="2005" xr:uid="{00000000-0005-0000-0000-00004E0D0000}"/>
    <cellStyle name="’E‰Y_laroux" xfId="2006" xr:uid="{00000000-0005-0000-0000-00004F0D0000}"/>
    <cellStyle name="¤@?e_TEST-1 " xfId="2009" xr:uid="{00000000-0005-0000-0000-0000500D0000}"/>
    <cellStyle name="+,-,0" xfId="4096" xr:uid="{00000000-0005-0000-0000-0000510D0000}"/>
    <cellStyle name="△ []" xfId="4097" xr:uid="{00000000-0005-0000-0000-0000520D0000}"/>
    <cellStyle name="△ [0]" xfId="4098" xr:uid="{00000000-0005-0000-0000-0000530D0000}"/>
    <cellStyle name="△백분율" xfId="2007" xr:uid="{00000000-0005-0000-0000-0000540D0000}"/>
    <cellStyle name="△콤마" xfId="2008" xr:uid="{00000000-0005-0000-0000-0000550D0000}"/>
    <cellStyle name="°ia¤¼o¼ya¡" xfId="2010" xr:uid="{00000000-0005-0000-0000-0000560D0000}"/>
    <cellStyle name="°ia¤aa·a1" xfId="2011" xr:uid="{00000000-0005-0000-0000-0000570D0000}"/>
    <cellStyle name="°ia¤aa·a2" xfId="2012" xr:uid="{00000000-0005-0000-0000-0000580D0000}"/>
    <cellStyle name="؀ŀŀ䅀؀ŀŀ䅀؀ŀ฀䅀؀฀฀䅀؀฀฀䅀؀฀฀䅀؀฀฀䅀؀฀฀䅀؀฀฀䅀؀฀฀䅀؀฀฀䅀؀฀฀䅀؀฀฀䁀" xfId="5102" xr:uid="{00000000-0005-0000-0000-0000590D0000}"/>
    <cellStyle name="؀฀฀䅀؀฀฀䅀؀฀฀䅀؀฀฀䅀؀฀฀䅀؀฀฀䅀؀฀฀䅀؀฀฀䁀" xfId="5135" xr:uid="{00000000-0005-0000-0000-00005A0D0000}"/>
    <cellStyle name="؀฀฀䅀؀฀฀䅀؀฀฀䅀؀฀฀䅀؀฀฀䅀؀฀฀䁀" xfId="5134" xr:uid="{00000000-0005-0000-0000-00005B0D0000}"/>
    <cellStyle name="؀฀฀䅀؀฀฀䅀؀฀฀䅀؀฀฀䁀" xfId="5133" xr:uid="{00000000-0005-0000-0000-00005C0D0000}"/>
    <cellStyle name="" xfId="1" xr:uid="{00000000-0005-0000-0000-00005D0D0000}"/>
    <cellStyle name="_1. 전시시설물_지역홍보관" xfId="2911" xr:uid="{00000000-0005-0000-0000-00005E0D0000}"/>
    <cellStyle name="_1육군실-시설" xfId="2924" xr:uid="{00000000-0005-0000-0000-00005F0D0000}"/>
    <cellStyle name="_TCS_축중기" xfId="4091" xr:uid="{00000000-0005-0000-0000-0000600D0000}"/>
    <cellStyle name="_TTMS위탁수량(KHC)" xfId="4092" xr:uid="{00000000-0005-0000-0000-0000610D0000}"/>
    <cellStyle name="_가로등주" xfId="3272" xr:uid="{00000000-0005-0000-0000-0000620D0000}"/>
    <cellStyle name="_강원지역본부" xfId="3282" xr:uid="{00000000-0005-0000-0000-0000630D0000}"/>
    <cellStyle name="_강원지역본부(2006년)" xfId="3283" xr:uid="{00000000-0005-0000-0000-0000640D0000}"/>
    <cellStyle name="_강원지역본부(2006년_060109)" xfId="3285" xr:uid="{00000000-0005-0000-0000-0000650D0000}"/>
    <cellStyle name="_강원지역본부(2006년-051228)" xfId="3286" xr:uid="{00000000-0005-0000-0000-0000660D0000}"/>
    <cellStyle name="_강원지역본부(2006년-060102)" xfId="3287" xr:uid="{00000000-0005-0000-0000-0000670D0000}"/>
    <cellStyle name="_개선형표지판(제조)-전송" xfId="3289" xr:uid="{00000000-0005-0000-0000-0000680D0000}"/>
    <cellStyle name="_경남본부_2006년도_유지관리대상수량" xfId="3318" xr:uid="{00000000-0005-0000-0000-0000690D0000}"/>
    <cellStyle name="_경남본부_2006년도_유지관리대상수량_경남지역본부(2006년)" xfId="3319" xr:uid="{00000000-0005-0000-0000-00006A0D0000}"/>
    <cellStyle name="_경남본부_2006년도_유지관리대상수량_경남지역본부(2006년도)" xfId="3320" xr:uid="{00000000-0005-0000-0000-00006B0D0000}"/>
    <cellStyle name="_경남지역본부-" xfId="3323" xr:uid="{00000000-0005-0000-0000-00006C0D0000}"/>
    <cellStyle name="_경남지역본부_20041220_상반기" xfId="3324" xr:uid="{00000000-0005-0000-0000-00006D0D0000}"/>
    <cellStyle name="_경남지역본부_20041220_상반기_2005년도급내역서" xfId="3325" xr:uid="{00000000-0005-0000-0000-00006E0D0000}"/>
    <cellStyle name="_경남지역본부_20041220_상반기_2005년도급내역서_TTMS위탁수량(KHC)" xfId="3340" xr:uid="{00000000-0005-0000-0000-00006F0D0000}"/>
    <cellStyle name="_경남지역본부_20041220_상반기_2005년도급내역서_강원지역본부(2006년)" xfId="3326" xr:uid="{00000000-0005-0000-0000-0000700D0000}"/>
    <cellStyle name="_경남지역본부_20041220_상반기_2005년도급내역서_강원지역본부(2006년-051228)" xfId="3327" xr:uid="{00000000-0005-0000-0000-0000710D0000}"/>
    <cellStyle name="_경남지역본부_20041220_상반기_2005년도급내역서_강원지역본부(2006년-060102)" xfId="3328" xr:uid="{00000000-0005-0000-0000-0000720D0000}"/>
    <cellStyle name="_경남지역본부_20041220_상반기_2005년도급내역서_경남본부_2006년도_유지관리대상수량" xfId="3329" xr:uid="{00000000-0005-0000-0000-0000730D0000}"/>
    <cellStyle name="_경남지역본부_20041220_상반기_2005년도급내역서_경남본부_2006년도_유지관리대상수량_경남지역본부(2006년)" xfId="3330" xr:uid="{00000000-0005-0000-0000-0000740D0000}"/>
    <cellStyle name="_경남지역본부_20041220_상반기_2005년도급내역서_경남본부_2006년도_유지관리대상수량_경남지역본부(2006년도)" xfId="3331" xr:uid="{00000000-0005-0000-0000-0000750D0000}"/>
    <cellStyle name="_경남지역본부_20041220_상반기_2005년도급내역서_중부지역본부(2006년)_기준" xfId="3332" xr:uid="{00000000-0005-0000-0000-0000760D0000}"/>
    <cellStyle name="_경남지역본부_20041220_상반기_2005년도급내역서_중부지역본부(2006년)_기준_경남지역본부(2006년)" xfId="3333" xr:uid="{00000000-0005-0000-0000-0000770D0000}"/>
    <cellStyle name="_경남지역본부_20041220_상반기_2005년도급내역서_중부지역본부(2006년)_기준_경남지역본부(2006년도)" xfId="3334" xr:uid="{00000000-0005-0000-0000-0000780D0000}"/>
    <cellStyle name="_경남지역본부_20041220_상반기_2005년도급내역서_중부지역본부(2006년)_기준_경북지역본부(2006년)" xfId="3335" xr:uid="{00000000-0005-0000-0000-0000790D0000}"/>
    <cellStyle name="_경남지역본부_20041220_상반기_2005년도급내역서_중부지역본부(2006년)_기준_경북지역본부(2006년도)" xfId="3336" xr:uid="{00000000-0005-0000-0000-00007A0D0000}"/>
    <cellStyle name="_경남지역본부_20041220_상반기_2005년도급내역서_중부지역본부(2006년-051220)" xfId="3337" xr:uid="{00000000-0005-0000-0000-00007B0D0000}"/>
    <cellStyle name="_경남지역본부_20041220_상반기_2005년도급내역서_중부지역본부(2006년-051228)" xfId="3338" xr:uid="{00000000-0005-0000-0000-00007C0D0000}"/>
    <cellStyle name="_경남지역본부_20041220_상반기_2005년도급내역서_중부지역본부(2006년-060102)" xfId="3339" xr:uid="{00000000-0005-0000-0000-00007D0D0000}"/>
    <cellStyle name="_경남지역본부_20041220_상반기_TTMS위탁수량(KHC)" xfId="3355" xr:uid="{00000000-0005-0000-0000-00007E0D0000}"/>
    <cellStyle name="_경남지역본부_20041220_상반기_강원지역본부(2006년)" xfId="3341" xr:uid="{00000000-0005-0000-0000-00007F0D0000}"/>
    <cellStyle name="_경남지역본부_20041220_상반기_강원지역본부(2006년-051228)" xfId="3342" xr:uid="{00000000-0005-0000-0000-0000800D0000}"/>
    <cellStyle name="_경남지역본부_20041220_상반기_강원지역본부(2006년-060102)" xfId="3343" xr:uid="{00000000-0005-0000-0000-0000810D0000}"/>
    <cellStyle name="_경남지역본부_20041220_상반기_경남본부_2006년도_유지관리대상수량" xfId="3344" xr:uid="{00000000-0005-0000-0000-0000820D0000}"/>
    <cellStyle name="_경남지역본부_20041220_상반기_경남본부_2006년도_유지관리대상수량_경남지역본부(2006년)" xfId="3345" xr:uid="{00000000-0005-0000-0000-0000830D0000}"/>
    <cellStyle name="_경남지역본부_20041220_상반기_경남본부_2006년도_유지관리대상수량_경남지역본부(2006년도)" xfId="3346" xr:uid="{00000000-0005-0000-0000-0000840D0000}"/>
    <cellStyle name="_경남지역본부_20041220_상반기_중부지역본부(2006년)_기준" xfId="3347" xr:uid="{00000000-0005-0000-0000-0000850D0000}"/>
    <cellStyle name="_경남지역본부_20041220_상반기_중부지역본부(2006년)_기준_경남지역본부(2006년)" xfId="3348" xr:uid="{00000000-0005-0000-0000-0000860D0000}"/>
    <cellStyle name="_경남지역본부_20041220_상반기_중부지역본부(2006년)_기준_경남지역본부(2006년도)" xfId="3349" xr:uid="{00000000-0005-0000-0000-0000870D0000}"/>
    <cellStyle name="_경남지역본부_20041220_상반기_중부지역본부(2006년)_기준_경북지역본부(2006년)" xfId="3350" xr:uid="{00000000-0005-0000-0000-0000880D0000}"/>
    <cellStyle name="_경남지역본부_20041220_상반기_중부지역본부(2006년)_기준_경북지역본부(2006년도)" xfId="3351" xr:uid="{00000000-0005-0000-0000-0000890D0000}"/>
    <cellStyle name="_경남지역본부_20041220_상반기_중부지역본부(2006년-051220)" xfId="3352" xr:uid="{00000000-0005-0000-0000-00008A0D0000}"/>
    <cellStyle name="_경남지역본부_20041220_상반기_중부지역본부(2006년-051228)" xfId="3353" xr:uid="{00000000-0005-0000-0000-00008B0D0000}"/>
    <cellStyle name="_경남지역본부_20041220_상반기_중부지역본부(2006년-060102)" xfId="3354" xr:uid="{00000000-0005-0000-0000-00008C0D0000}"/>
    <cellStyle name="_경북지역본부-" xfId="3357" xr:uid="{00000000-0005-0000-0000-00008D0D0000}"/>
    <cellStyle name="_내역서" xfId="5142" xr:uid="{00000000-0005-0000-0000-00008E0D0000}"/>
    <cellStyle name="_설치_동천배수펌프장" xfId="3654" xr:uid="{00000000-0005-0000-0000-00008F0D0000}"/>
    <cellStyle name="_승강기 및 CRT 감시반(0416)" xfId="3665" xr:uid="{00000000-0005-0000-0000-0000900D0000}"/>
    <cellStyle name="_중부지역본부-" xfId="3897" xr:uid="{00000000-0005-0000-0000-0000910D0000}"/>
    <cellStyle name="_중부지역본부(2006년)_기준" xfId="3898" xr:uid="{00000000-0005-0000-0000-0000920D0000}"/>
    <cellStyle name="_중부지역본부(2006년)_기준_경남지역본부(2006년)" xfId="3899" xr:uid="{00000000-0005-0000-0000-0000930D0000}"/>
    <cellStyle name="_중부지역본부(2006년)_기준_경남지역본부(2006년도)" xfId="3900" xr:uid="{00000000-0005-0000-0000-0000940D0000}"/>
    <cellStyle name="_중부지역본부(2006년)_기준_경북지역본부(2006년)" xfId="3901" xr:uid="{00000000-0005-0000-0000-0000950D0000}"/>
    <cellStyle name="_중부지역본부(2006년)_기준_경북지역본부(2006년도)" xfId="3902" xr:uid="{00000000-0005-0000-0000-0000960D0000}"/>
    <cellStyle name="_중부지역본부(2006년-051220)" xfId="3903" xr:uid="{00000000-0005-0000-0000-0000970D0000}"/>
    <cellStyle name="_중부지역본부(2006년-051228)" xfId="3904" xr:uid="{00000000-0005-0000-0000-0000980D0000}"/>
    <cellStyle name="_중부지역본부(2006년-060102)" xfId="3905" xr:uid="{00000000-0005-0000-0000-0000990D0000}"/>
    <cellStyle name="_통행료면탈방지시스템(최종)" xfId="3963" xr:uid="{00000000-0005-0000-0000-00009A0D0000}"/>
    <cellStyle name="_x0007_ _x000d__x000d_­­_x0007_ ­" xfId="3" xr:uid="{00000000-0005-0000-0000-00009B0D0000}"/>
    <cellStyle name="_x0007__x0009__x000d__x000d_­­_x0007__x0009_­" xfId="5226" xr:uid="{00000000-0005-0000-0000-00009C0D0000}"/>
    <cellStyle name="0%" xfId="2013" xr:uid="{00000000-0005-0000-0000-00009D0D0000}"/>
    <cellStyle name="0,0_x000d__x000a_NA_x000d__x000a_" xfId="4099" xr:uid="{00000000-0005-0000-0000-00009E0D0000}"/>
    <cellStyle name="0.0" xfId="4100" xr:uid="{00000000-0005-0000-0000-00009F0D0000}"/>
    <cellStyle name="0.0%" xfId="2014" xr:uid="{00000000-0005-0000-0000-0000A00D0000}"/>
    <cellStyle name="0.00" xfId="4101" xr:uid="{00000000-0005-0000-0000-0000A10D0000}"/>
    <cellStyle name="0.00%" xfId="2015" xr:uid="{00000000-0005-0000-0000-0000A20D0000}"/>
    <cellStyle name="0.000%" xfId="2016" xr:uid="{00000000-0005-0000-0000-0000A30D0000}"/>
    <cellStyle name="0.0000%" xfId="2017" xr:uid="{00000000-0005-0000-0000-0000A40D0000}"/>
    <cellStyle name="¼yAU(R)" xfId="4102" xr:uid="{00000000-0005-0000-0000-0000A50D0000}"/>
    <cellStyle name="1" xfId="2018" xr:uid="{00000000-0005-0000-0000-0000A60D0000}"/>
    <cellStyle name="1 000 Kč_RESULTS" xfId="4103" xr:uid="{00000000-0005-0000-0000-0000A70D0000}"/>
    <cellStyle name="1_01-도급성서이곡운동장0316" xfId="2019" xr:uid="{00000000-0005-0000-0000-0000A80D0000}"/>
    <cellStyle name="1_ALD SYSTEM" xfId="4165" xr:uid="{00000000-0005-0000-0000-0000A90D0000}"/>
    <cellStyle name="1_Book1" xfId="2093" xr:uid="{00000000-0005-0000-0000-0000AA0D0000}"/>
    <cellStyle name="1_JISU_New" xfId="4166" xr:uid="{00000000-0005-0000-0000-0000AB0D0000}"/>
    <cellStyle name="1_가로등도급내역서" xfId="2020" xr:uid="{00000000-0005-0000-0000-0000AC0D0000}"/>
    <cellStyle name="1_가로등주" xfId="4104" xr:uid="{00000000-0005-0000-0000-0000AD0D0000}"/>
    <cellStyle name="1_감포축구장" xfId="2021" xr:uid="{00000000-0005-0000-0000-0000AE0D0000}"/>
    <cellStyle name="1_갑지,원가1104" xfId="2022" xr:uid="{00000000-0005-0000-0000-0000AF0D0000}"/>
    <cellStyle name="1_경산네거리" xfId="2023" xr:uid="{00000000-0005-0000-0000-0000B00D0000}"/>
    <cellStyle name="1_경주축구공원-전기0116" xfId="2024" xr:uid="{00000000-0005-0000-0000-0000B10D0000}"/>
    <cellStyle name="1_공량산출서-구조물" xfId="4105" xr:uid="{00000000-0005-0000-0000-0000B20D0000}"/>
    <cellStyle name="1_구미중학교내역서-1" xfId="2025" xr:uid="{00000000-0005-0000-0000-0000B30D0000}"/>
    <cellStyle name="1_국우터널철거0622" xfId="2026" xr:uid="{00000000-0005-0000-0000-0000B40D0000}"/>
    <cellStyle name="1_굴전단일로외1개소(신)" xfId="2027" xr:uid="{00000000-0005-0000-0000-0000B50D0000}"/>
    <cellStyle name="1_굴전단일로외1개소(신) 2" xfId="5161" xr:uid="{00000000-0005-0000-0000-0000B60D0000}"/>
    <cellStyle name="1_굴전단일로외1개소(신) 2 2" xfId="5285" xr:uid="{00000000-0005-0000-0000-0000B70D0000}"/>
    <cellStyle name="1_굴전단일로외1개소(신) 3" xfId="5247" xr:uid="{00000000-0005-0000-0000-0000B80D0000}"/>
    <cellStyle name="1_귀인APT(보안)" xfId="2028" xr:uid="{00000000-0005-0000-0000-0000B90D0000}"/>
    <cellStyle name="1_귀인APT(보안) 2" xfId="5162" xr:uid="{00000000-0005-0000-0000-0000BA0D0000}"/>
    <cellStyle name="1_귀인APT(보안) 2 2" xfId="5286" xr:uid="{00000000-0005-0000-0000-0000BB0D0000}"/>
    <cellStyle name="1_귀인APT(보안) 3" xfId="5248" xr:uid="{00000000-0005-0000-0000-0000BC0D0000}"/>
    <cellStyle name="1_내역서" xfId="4106" xr:uid="{00000000-0005-0000-0000-0000BD0D0000}"/>
    <cellStyle name="1_내역서_1" xfId="4107" xr:uid="{00000000-0005-0000-0000-0000BE0D0000}"/>
    <cellStyle name="1_논공남리내역서" xfId="2029" xr:uid="{00000000-0005-0000-0000-0000BF0D0000}"/>
    <cellStyle name="1_다산2지방산업단지(신호등)" xfId="2030" xr:uid="{00000000-0005-0000-0000-0000C00D0000}"/>
    <cellStyle name="1_단가대비표" xfId="4108" xr:uid="{00000000-0005-0000-0000-0000C10D0000}"/>
    <cellStyle name="1_단가조사표" xfId="4109" xr:uid="{00000000-0005-0000-0000-0000C20D0000}"/>
    <cellStyle name="1_단가조사표_1011소각" xfId="4110" xr:uid="{00000000-0005-0000-0000-0000C30D0000}"/>
    <cellStyle name="1_단가조사표_121내역" xfId="4111" xr:uid="{00000000-0005-0000-0000-0000C40D0000}"/>
    <cellStyle name="1_단가조사표_객토량" xfId="4112" xr:uid="{00000000-0005-0000-0000-0000C50D0000}"/>
    <cellStyle name="1_단가조사표_교통센~1" xfId="4113" xr:uid="{00000000-0005-0000-0000-0000C60D0000}"/>
    <cellStyle name="1_단가조사표_구조물대가 (2)" xfId="4114" xr:uid="{00000000-0005-0000-0000-0000C70D0000}"/>
    <cellStyle name="1_단가조사표_내역서 (2)" xfId="4115" xr:uid="{00000000-0005-0000-0000-0000C80D0000}"/>
    <cellStyle name="1_단가조사표_부대시설" xfId="4116" xr:uid="{00000000-0005-0000-0000-0000C90D0000}"/>
    <cellStyle name="1_단가조사표_소각수~1" xfId="4117" xr:uid="{00000000-0005-0000-0000-0000CA0D0000}"/>
    <cellStyle name="1_단가조사표_소각수내역서" xfId="4118" xr:uid="{00000000-0005-0000-0000-0000CB0D0000}"/>
    <cellStyle name="1_단가조사표_소각수목2" xfId="4119" xr:uid="{00000000-0005-0000-0000-0000CC0D0000}"/>
    <cellStyle name="1_단가조사표_수량산출서 (2)" xfId="4120" xr:uid="{00000000-0005-0000-0000-0000CD0D0000}"/>
    <cellStyle name="1_단가조사표_엑스포~1" xfId="4121" xr:uid="{00000000-0005-0000-0000-0000CE0D0000}"/>
    <cellStyle name="1_단가조사표_엑스포한빛1" xfId="4122" xr:uid="{00000000-0005-0000-0000-0000CF0D0000}"/>
    <cellStyle name="1_단가조사표_원가계~1" xfId="4123" xr:uid="{00000000-0005-0000-0000-0000D00D0000}"/>
    <cellStyle name="1_단가조사표_유기질" xfId="4124" xr:uid="{00000000-0005-0000-0000-0000D10D0000}"/>
    <cellStyle name="1_단가조사표_자재조서 (2)" xfId="4125" xr:uid="{00000000-0005-0000-0000-0000D20D0000}"/>
    <cellStyle name="1_단가조사표_총괄내역" xfId="4126" xr:uid="{00000000-0005-0000-0000-0000D30D0000}"/>
    <cellStyle name="1_단가조사표_총괄내역 (2)" xfId="4127" xr:uid="{00000000-0005-0000-0000-0000D40D0000}"/>
    <cellStyle name="1_단가조사표_포장일위" xfId="4128" xr:uid="{00000000-0005-0000-0000-0000D50D0000}"/>
    <cellStyle name="1_도청이전지진입도로" xfId="2031" xr:uid="{00000000-0005-0000-0000-0000D60D0000}"/>
    <cellStyle name="1_동구효청원설계내역서" xfId="2032" xr:uid="{00000000-0005-0000-0000-0000D70D0000}"/>
    <cellStyle name="1_상주한방병원전기" xfId="2033" xr:uid="{00000000-0005-0000-0000-0000D80D0000}"/>
    <cellStyle name="1_설계내역서(영천나자렛집)" xfId="2034" xr:uid="{00000000-0005-0000-0000-0000D90D0000}"/>
    <cellStyle name="1_성광고급식소(전기)0607" xfId="2035" xr:uid="{00000000-0005-0000-0000-0000DA0D0000}"/>
    <cellStyle name="1_성서이곡운동장0316" xfId="2036" xr:uid="{00000000-0005-0000-0000-0000DB0D0000}"/>
    <cellStyle name="1_성서이곡테니스장" xfId="2037" xr:uid="{00000000-0005-0000-0000-0000DC0D0000}"/>
    <cellStyle name="1_수량산출조서" xfId="4129" xr:uid="{00000000-0005-0000-0000-0000DD0D0000}"/>
    <cellStyle name="1_시민계략공사" xfId="2038" xr:uid="{00000000-0005-0000-0000-0000DE0D0000}"/>
    <cellStyle name="1_시민계략공사 2" xfId="5163" xr:uid="{00000000-0005-0000-0000-0000DF0D0000}"/>
    <cellStyle name="1_시민계략공사 2 2" xfId="5287" xr:uid="{00000000-0005-0000-0000-0000E00D0000}"/>
    <cellStyle name="1_시민계략공사 3" xfId="5249" xr:uid="{00000000-0005-0000-0000-0000E10D0000}"/>
    <cellStyle name="1_시민계략공사_2002년도각종계산서너릿제터널등7개소" xfId="2039" xr:uid="{00000000-0005-0000-0000-0000E20D0000}"/>
    <cellStyle name="1_시민계략공사_2002년도각종계산서하반기원본" xfId="2040" xr:uid="{00000000-0005-0000-0000-0000E30D0000}"/>
    <cellStyle name="1_시민계략공사_2002년도각종계산서하반기원본_2006년 최종 설계서" xfId="2041" xr:uid="{00000000-0005-0000-0000-0000E40D0000}"/>
    <cellStyle name="1_시민계략공사_2003년 각종계산서(읽기전용)" xfId="2042" xr:uid="{00000000-0005-0000-0000-0000E50D0000}"/>
    <cellStyle name="1_시민계략공사_2003년 각종계산서(읽기전용)_2006년 최종 설계서" xfId="2043" xr:uid="{00000000-0005-0000-0000-0000E60D0000}"/>
    <cellStyle name="1_시민계략공사_2003년 각종계산서(읽기전용)_내역서(전기)" xfId="2044" xr:uid="{00000000-0005-0000-0000-0000E70D0000}"/>
    <cellStyle name="1_시민계략공사_2003년 각종계산서(읽기전용)_내역서(전기)_2006년 최종 설계서" xfId="2045" xr:uid="{00000000-0005-0000-0000-0000E80D0000}"/>
    <cellStyle name="1_시민계략공사_2003년 각종계산서(읽기전용)_내역서(전기)_전기내역서(담양금성농협)" xfId="4130" xr:uid="{00000000-0005-0000-0000-0000E90D0000}"/>
    <cellStyle name="1_시민계략공사_2003년 각종계산서(읽기전용)_내역서(전기)_전기내역서(영암출장소-분석동)" xfId="4131" xr:uid="{00000000-0005-0000-0000-0000EA0D0000}"/>
    <cellStyle name="1_시민계략공사_2003년 각종계산서(읽기전용)_내역서(전기)_전기내역서(타절내역)" xfId="4132" xr:uid="{00000000-0005-0000-0000-0000EB0D0000}"/>
    <cellStyle name="1_시민계략공사_2003년 각종계산서(읽기전용)_전기내역서(담양금성농협)" xfId="4133" xr:uid="{00000000-0005-0000-0000-0000EC0D0000}"/>
    <cellStyle name="1_시민계략공사_2003년 각종계산서(읽기전용)_전기내역서(영암출장소-분석동)" xfId="4134" xr:uid="{00000000-0005-0000-0000-0000ED0D0000}"/>
    <cellStyle name="1_시민계략공사_2003년 각종계산서(읽기전용)_전기내역서(타절내역)" xfId="4135" xr:uid="{00000000-0005-0000-0000-0000EE0D0000}"/>
    <cellStyle name="1_시민계략공사_Book2" xfId="2076" xr:uid="{00000000-0005-0000-0000-0000EF0D0000}"/>
    <cellStyle name="1_시민계략공사_Book2 2" xfId="5172" xr:uid="{00000000-0005-0000-0000-0000F00D0000}"/>
    <cellStyle name="1_시민계략공사_Book2 2 2" xfId="5295" xr:uid="{00000000-0005-0000-0000-0000F10D0000}"/>
    <cellStyle name="1_시민계략공사_Book2 3" xfId="5257" xr:uid="{00000000-0005-0000-0000-0000F20D0000}"/>
    <cellStyle name="1_시민계략공사_계산서" xfId="2046" xr:uid="{00000000-0005-0000-0000-0000F30D0000}"/>
    <cellStyle name="1_시민계략공사_계산서_2006년 최종 설계서" xfId="2047" xr:uid="{00000000-0005-0000-0000-0000F40D0000}"/>
    <cellStyle name="1_시민계략공사_계산서및내역서5월15일변경" xfId="2048" xr:uid="{00000000-0005-0000-0000-0000F50D0000}"/>
    <cellStyle name="1_시민계략공사_계산서및내역서5월9일변경" xfId="2049" xr:uid="{00000000-0005-0000-0000-0000F60D0000}"/>
    <cellStyle name="1_시민계략공사_광양중동중학교실증축공사(전기)-4월10일한번더" xfId="2050" xr:uid="{00000000-0005-0000-0000-0000F70D0000}"/>
    <cellStyle name="1_시민계략공사_광양중동중학교실증축공사(전기)-4월10일한번더 2" xfId="5164" xr:uid="{00000000-0005-0000-0000-0000F80D0000}"/>
    <cellStyle name="1_시민계략공사_광양중동중학교실증축공사(전기)-4월10일한번더 2 2" xfId="5288" xr:uid="{00000000-0005-0000-0000-0000F90D0000}"/>
    <cellStyle name="1_시민계략공사_광양중동중학교실증축공사(전기)-4월10일한번더 3" xfId="5250" xr:uid="{00000000-0005-0000-0000-0000FA0D0000}"/>
    <cellStyle name="1_시민계략공사_무안연꽃방죽(4월9일)한번더" xfId="2051" xr:uid="{00000000-0005-0000-0000-0000FB0D0000}"/>
    <cellStyle name="1_시민계략공사_무안연꽃방죽(4월9일)한번더 2" xfId="5165" xr:uid="{00000000-0005-0000-0000-0000FC0D0000}"/>
    <cellStyle name="1_시민계략공사_무안연꽃방죽(4월9일)한번더 2 2" xfId="5289" xr:uid="{00000000-0005-0000-0000-0000FD0D0000}"/>
    <cellStyle name="1_시민계략공사_무안연꽃방죽(4월9일)한번더 3" xfId="5251" xr:uid="{00000000-0005-0000-0000-0000FE0D0000}"/>
    <cellStyle name="1_시민계략공사_보일약국~순국비간 도로개설 가로등설치공사" xfId="2052" xr:uid="{00000000-0005-0000-0000-0000FF0D0000}"/>
    <cellStyle name="1_시민계략공사_보일약국~순국비간 도로개설 가로등설치공사 2" xfId="5166" xr:uid="{00000000-0005-0000-0000-0000000E0000}"/>
    <cellStyle name="1_시민계략공사_보일약국~순국비간 도로개설 가로등설치공사 2 2" xfId="5290" xr:uid="{00000000-0005-0000-0000-0000010E0000}"/>
    <cellStyle name="1_시민계략공사_보일약국~순국비간 도로개설 가로등설치공사 3" xfId="5252" xr:uid="{00000000-0005-0000-0000-0000020E0000}"/>
    <cellStyle name="1_시민계략공사_복지관 부하계산서" xfId="2053" xr:uid="{00000000-0005-0000-0000-0000030E0000}"/>
    <cellStyle name="1_시민계략공사_복지관 부하계산서_2006년 최종 설계서" xfId="2054" xr:uid="{00000000-0005-0000-0000-0000040E0000}"/>
    <cellStyle name="1_시민계략공사_복지관 부하계산서_내역서(전기)" xfId="2055" xr:uid="{00000000-0005-0000-0000-0000050E0000}"/>
    <cellStyle name="1_시민계략공사_복지관 부하계산서_내역서(전기)_2006년 최종 설계서" xfId="2056" xr:uid="{00000000-0005-0000-0000-0000060E0000}"/>
    <cellStyle name="1_시민계략공사_복지관 부하계산서_내역서(전기)_전기내역서(담양금성농협)" xfId="4136" xr:uid="{00000000-0005-0000-0000-0000070E0000}"/>
    <cellStyle name="1_시민계략공사_복지관 부하계산서_내역서(전기)_전기내역서(영암출장소-분석동)" xfId="4137" xr:uid="{00000000-0005-0000-0000-0000080E0000}"/>
    <cellStyle name="1_시민계략공사_복지관 부하계산서_내역서(전기)_전기내역서(타절내역)" xfId="4138" xr:uid="{00000000-0005-0000-0000-0000090E0000}"/>
    <cellStyle name="1_시민계략공사_복지관 부하계산서_전기내역서(담양금성농협)" xfId="4139" xr:uid="{00000000-0005-0000-0000-00000A0E0000}"/>
    <cellStyle name="1_시민계략공사_복지관 부하계산서_전기내역서(영암출장소-분석동)" xfId="4140" xr:uid="{00000000-0005-0000-0000-00000B0E0000}"/>
    <cellStyle name="1_시민계략공사_복지관 부하계산서_전기내역서(타절내역)" xfId="4141" xr:uid="{00000000-0005-0000-0000-00000C0E0000}"/>
    <cellStyle name="1_시민계략공사_봉산면보건지소신축공사(전기)11월30일변경" xfId="2057" xr:uid="{00000000-0005-0000-0000-00000D0E0000}"/>
    <cellStyle name="1_시민계략공사_봉산면보건지소신축공사(전기)11월30일변경 2" xfId="5167" xr:uid="{00000000-0005-0000-0000-00000E0E0000}"/>
    <cellStyle name="1_시민계략공사_봉산면보건지소신축공사(전기)11월30일변경 2 2" xfId="5291" xr:uid="{00000000-0005-0000-0000-00000F0E0000}"/>
    <cellStyle name="1_시민계략공사_봉산면보건지소신축공사(전기)11월30일변경 3" xfId="5253" xr:uid="{00000000-0005-0000-0000-0000100E0000}"/>
    <cellStyle name="1_시민계략공사_북문로(팔마로)가로등설치공사(변경)3월11일" xfId="2058" xr:uid="{00000000-0005-0000-0000-0000110E0000}"/>
    <cellStyle name="1_시민계략공사_북문로(팔마로)가로등설치공사(변경)3월11일 2" xfId="5168" xr:uid="{00000000-0005-0000-0000-0000120E0000}"/>
    <cellStyle name="1_시민계략공사_북문로(팔마로)가로등설치공사(변경)3월11일 2 2" xfId="5292" xr:uid="{00000000-0005-0000-0000-0000130E0000}"/>
    <cellStyle name="1_시민계략공사_북문로(팔마로)가로등설치공사(변경)3월11일 3" xfId="5254" xr:uid="{00000000-0005-0000-0000-0000140E0000}"/>
    <cellStyle name="1_시민계략공사_북문팔마로확포장공사가로등" xfId="2059" xr:uid="{00000000-0005-0000-0000-0000150E0000}"/>
    <cellStyle name="1_시민계략공사_북문팔마로확포장공사가로등 2" xfId="5169" xr:uid="{00000000-0005-0000-0000-0000160E0000}"/>
    <cellStyle name="1_시민계략공사_북문팔마로확포장공사가로등 2 2" xfId="5293" xr:uid="{00000000-0005-0000-0000-0000170E0000}"/>
    <cellStyle name="1_시민계략공사_북문팔마로확포장공사가로등 3" xfId="5255" xr:uid="{00000000-0005-0000-0000-0000180E0000}"/>
    <cellStyle name="1_시민계략공사_비상부하,발전기용량 계산서" xfId="2060" xr:uid="{00000000-0005-0000-0000-0000190E0000}"/>
    <cellStyle name="1_시민계략공사_비상부하,발전기용량 계산서_2006년 최종 설계서" xfId="2061" xr:uid="{00000000-0005-0000-0000-00001A0E0000}"/>
    <cellStyle name="1_시민계략공사_비상부하,발전기용량 계산서_내역서(전기)" xfId="2062" xr:uid="{00000000-0005-0000-0000-00001B0E0000}"/>
    <cellStyle name="1_시민계략공사_비상부하,발전기용량 계산서_내역서(전기)_2006년 최종 설계서" xfId="2063" xr:uid="{00000000-0005-0000-0000-00001C0E0000}"/>
    <cellStyle name="1_시민계략공사_비상부하,발전기용량 계산서_내역서(전기)_전기내역서(담양금성농협)" xfId="4142" xr:uid="{00000000-0005-0000-0000-00001D0E0000}"/>
    <cellStyle name="1_시민계략공사_비상부하,발전기용량 계산서_내역서(전기)_전기내역서(영암출장소-분석동)" xfId="4143" xr:uid="{00000000-0005-0000-0000-00001E0E0000}"/>
    <cellStyle name="1_시민계략공사_비상부하,발전기용량 계산서_내역서(전기)_전기내역서(타절내역)" xfId="4144" xr:uid="{00000000-0005-0000-0000-00001F0E0000}"/>
    <cellStyle name="1_시민계략공사_비상부하,발전기용량 계산서_전기내역서(담양금성농협)" xfId="4145" xr:uid="{00000000-0005-0000-0000-0000200E0000}"/>
    <cellStyle name="1_시민계략공사_비상부하,발전기용량 계산서_전기내역서(영암출장소-분석동)" xfId="4146" xr:uid="{00000000-0005-0000-0000-0000210E0000}"/>
    <cellStyle name="1_시민계략공사_비상부하,발전기용량 계산서_전기내역서(타절내역)" xfId="4147" xr:uid="{00000000-0005-0000-0000-0000220E0000}"/>
    <cellStyle name="1_시민계략공사_여수화력발전소" xfId="2064" xr:uid="{00000000-0005-0000-0000-0000230E0000}"/>
    <cellStyle name="1_시민계략공사_여수화력발전소_2006년 최종 설계서" xfId="2065" xr:uid="{00000000-0005-0000-0000-0000240E0000}"/>
    <cellStyle name="1_시민계략공사_여수화력발전소-부하계산" xfId="2066" xr:uid="{00000000-0005-0000-0000-0000250E0000}"/>
    <cellStyle name="1_시민계략공사_여수화력발전소-부하계산_2006년 최종 설계서" xfId="2067" xr:uid="{00000000-0005-0000-0000-0000260E0000}"/>
    <cellStyle name="1_시민계략공사_율촌중학교심야전기" xfId="2068" xr:uid="{00000000-0005-0000-0000-0000270E0000}"/>
    <cellStyle name="1_시민계략공사_율촌중학교심야전기 2" xfId="5171" xr:uid="{00000000-0005-0000-0000-0000280E0000}"/>
    <cellStyle name="1_시민계략공사_율촌중학교심야전기 2 2" xfId="5294" xr:uid="{00000000-0005-0000-0000-0000290E0000}"/>
    <cellStyle name="1_시민계략공사_율촌중학교심야전기 3" xfId="5256" xr:uid="{00000000-0005-0000-0000-00002A0E0000}"/>
    <cellStyle name="1_시민계략공사_전기-한남" xfId="2069" xr:uid="{00000000-0005-0000-0000-00002B0E0000}"/>
    <cellStyle name="1_시민계략공사_전기-한남_추가내역서" xfId="4148" xr:uid="{00000000-0005-0000-0000-00002C0E0000}"/>
    <cellStyle name="1_시민계략공사_전기-한남_침해2차변경8월16일" xfId="2070" xr:uid="{00000000-0005-0000-0000-00002D0E0000}"/>
    <cellStyle name="1_시민계략공사_조도계산서" xfId="2071" xr:uid="{00000000-0005-0000-0000-00002E0E0000}"/>
    <cellStyle name="1_시민계략공사_조도계산서_2006년 최종 설계서" xfId="2072" xr:uid="{00000000-0005-0000-0000-00002F0E0000}"/>
    <cellStyle name="1_시민계략공사_조도계산서_내역서(전기)" xfId="2073" xr:uid="{00000000-0005-0000-0000-0000300E0000}"/>
    <cellStyle name="1_시민계략공사_조도계산서_내역서(전기)_2006년 최종 설계서" xfId="2074" xr:uid="{00000000-0005-0000-0000-0000310E0000}"/>
    <cellStyle name="1_시민계략공사_조도계산서_내역서(전기)_전기내역서(담양금성농협)" xfId="4149" xr:uid="{00000000-0005-0000-0000-0000320E0000}"/>
    <cellStyle name="1_시민계략공사_조도계산서_내역서(전기)_전기내역서(영암출장소-분석동)" xfId="4150" xr:uid="{00000000-0005-0000-0000-0000330E0000}"/>
    <cellStyle name="1_시민계략공사_조도계산서_내역서(전기)_전기내역서(타절내역)" xfId="4151" xr:uid="{00000000-0005-0000-0000-0000340E0000}"/>
    <cellStyle name="1_시민계략공사_조도계산서_전기내역서(담양금성농협)" xfId="4152" xr:uid="{00000000-0005-0000-0000-0000350E0000}"/>
    <cellStyle name="1_시민계략공사_조도계산서_전기내역서(영암출장소-분석동)" xfId="4153" xr:uid="{00000000-0005-0000-0000-0000360E0000}"/>
    <cellStyle name="1_시민계략공사_조도계산서_전기내역서(타절내역)" xfId="4154" xr:uid="{00000000-0005-0000-0000-0000370E0000}"/>
    <cellStyle name="1_시민계략공사_추가내역서" xfId="4155" xr:uid="{00000000-0005-0000-0000-0000380E0000}"/>
    <cellStyle name="1_시민계략공사_추가내역서 2" xfId="5209" xr:uid="{00000000-0005-0000-0000-0000390E0000}"/>
    <cellStyle name="1_시민계략공사_추가내역서 2 2" xfId="5309" xr:uid="{00000000-0005-0000-0000-00003A0E0000}"/>
    <cellStyle name="1_시민계략공사_침해2차변경8월16일" xfId="2075" xr:uid="{00000000-0005-0000-0000-00003B0E0000}"/>
    <cellStyle name="1_신암공원-0923" xfId="2077" xr:uid="{00000000-0005-0000-0000-00003C0E0000}"/>
    <cellStyle name="1_실정보고설명서-개요서-내역서등-20080524" xfId="4156" xr:uid="{00000000-0005-0000-0000-00003D0E0000}"/>
    <cellStyle name="1_영양반딧불전기" xfId="2078" xr:uid="{00000000-0005-0000-0000-00003E0E0000}"/>
    <cellStyle name="1_예산신양공내역" xfId="4157" xr:uid="{00000000-0005-0000-0000-00003F0E0000}"/>
    <cellStyle name="1_울진남부초등학교(전기)" xfId="2079" xr:uid="{00000000-0005-0000-0000-0000400E0000}"/>
    <cellStyle name="1_원가계산서-전기-전체" xfId="2080" xr:uid="{00000000-0005-0000-0000-0000410E0000}"/>
    <cellStyle name="1_유아교육진흥원 신축전기공사" xfId="4158" xr:uid="{00000000-0005-0000-0000-0000420E0000}"/>
    <cellStyle name="1_이곡운동장 터파기" xfId="5144" xr:uid="{00000000-0005-0000-0000-0000430E0000}"/>
    <cellStyle name="1_이방조명탑" xfId="5225" xr:uid="{00000000-0005-0000-0000-0000440E0000}"/>
    <cellStyle name="1_일위대가표 " xfId="4159" xr:uid="{00000000-0005-0000-0000-0000450E0000}"/>
    <cellStyle name="1_자전거도로" xfId="2081" xr:uid="{00000000-0005-0000-0000-0000460E0000}"/>
    <cellStyle name="1_장미실비요양원0522" xfId="2082" xr:uid="{00000000-0005-0000-0000-0000470E0000}"/>
    <cellStyle name="1_전기내역서" xfId="2083" xr:uid="{00000000-0005-0000-0000-0000480E0000}"/>
    <cellStyle name="1_전기내역서-박곡리" xfId="2084" xr:uid="{00000000-0005-0000-0000-0000490E0000}"/>
    <cellStyle name="1_전자입찰원가양식" xfId="2085" xr:uid="{00000000-0005-0000-0000-00004A0E0000}"/>
    <cellStyle name="1_정산내역서1" xfId="4160" xr:uid="{00000000-0005-0000-0000-00004B0E0000}"/>
    <cellStyle name="1_정산변경" xfId="4161" xr:uid="{00000000-0005-0000-0000-00004C0E0000}"/>
    <cellStyle name="1_증산수도계곡" xfId="2086" xr:uid="{00000000-0005-0000-0000-00004D0E0000}"/>
    <cellStyle name="1_집계표" xfId="4162" xr:uid="{00000000-0005-0000-0000-00004E0E0000}"/>
    <cellStyle name="1_차량등록사업소- 전기내역서" xfId="2087" xr:uid="{00000000-0005-0000-0000-00004F0E0000}"/>
    <cellStyle name="1_첨단가로등" xfId="2088" xr:uid="{00000000-0005-0000-0000-0000500E0000}"/>
    <cellStyle name="1_추가내역서" xfId="4163" xr:uid="{00000000-0005-0000-0000-0000510E0000}"/>
    <cellStyle name="1_캠프헨리동편가로등" xfId="2089" xr:uid="{00000000-0005-0000-0000-0000520E0000}"/>
    <cellStyle name="1_표지,갑지-헌병중대생활관(전기)" xfId="2090" xr:uid="{00000000-0005-0000-0000-0000530E0000}"/>
    <cellStyle name="1_한천초BTL(전기)-" xfId="2091" xr:uid="{00000000-0005-0000-0000-0000540E0000}"/>
    <cellStyle name="1_해보시장-수정최종" xfId="4164" xr:uid="{00000000-0005-0000-0000-0000550E0000}"/>
    <cellStyle name="1_화원지구수해상습지가로등 - 1차분" xfId="2092" xr:uid="{00000000-0005-0000-0000-0000560E0000}"/>
    <cellStyle name="10" xfId="4167" xr:uid="{00000000-0005-0000-0000-0000570E0000}"/>
    <cellStyle name="120" xfId="4168" xr:uid="{00000000-0005-0000-0000-0000580E0000}"/>
    <cellStyle name="19990216" xfId="2094" xr:uid="{00000000-0005-0000-0000-0000590E0000}"/>
    <cellStyle name="¹e" xfId="2095" xr:uid="{00000000-0005-0000-0000-00005A0E0000}"/>
    <cellStyle name="¹e 2" xfId="5173" xr:uid="{00000000-0005-0000-0000-00005B0E0000}"/>
    <cellStyle name="¹éº" xfId="4170" xr:uid="{00000000-0005-0000-0000-00005C0E0000}"/>
    <cellStyle name="¹eºða²" xfId="4171" xr:uid="{00000000-0005-0000-0000-00005D0E0000}"/>
    <cellStyle name="1월" xfId="4169" xr:uid="{00000000-0005-0000-0000-00005E0E0000}"/>
    <cellStyle name="2" xfId="2096" xr:uid="{00000000-0005-0000-0000-00005F0E0000}"/>
    <cellStyle name="2)" xfId="4172" xr:uid="{00000000-0005-0000-0000-0000600E0000}"/>
    <cellStyle name="2_단가조사표" xfId="4173" xr:uid="{00000000-0005-0000-0000-0000610E0000}"/>
    <cellStyle name="2_단가조사표_1011소각" xfId="4174" xr:uid="{00000000-0005-0000-0000-0000620E0000}"/>
    <cellStyle name="2_단가조사표_121내역" xfId="4175" xr:uid="{00000000-0005-0000-0000-0000630E0000}"/>
    <cellStyle name="2_단가조사표_객토량" xfId="4176" xr:uid="{00000000-0005-0000-0000-0000640E0000}"/>
    <cellStyle name="2_단가조사표_교통센~1" xfId="4177" xr:uid="{00000000-0005-0000-0000-0000650E0000}"/>
    <cellStyle name="2_단가조사표_구조물대가 (2)" xfId="4178" xr:uid="{00000000-0005-0000-0000-0000660E0000}"/>
    <cellStyle name="2_단가조사표_내역서 (2)" xfId="4179" xr:uid="{00000000-0005-0000-0000-0000670E0000}"/>
    <cellStyle name="2_단가조사표_부대시설" xfId="4180" xr:uid="{00000000-0005-0000-0000-0000680E0000}"/>
    <cellStyle name="2_단가조사표_소각수~1" xfId="4181" xr:uid="{00000000-0005-0000-0000-0000690E0000}"/>
    <cellStyle name="2_단가조사표_소각수내역서" xfId="4182" xr:uid="{00000000-0005-0000-0000-00006A0E0000}"/>
    <cellStyle name="2_단가조사표_소각수목2" xfId="4183" xr:uid="{00000000-0005-0000-0000-00006B0E0000}"/>
    <cellStyle name="2_단가조사표_수량산출서 (2)" xfId="4184" xr:uid="{00000000-0005-0000-0000-00006C0E0000}"/>
    <cellStyle name="2_단가조사표_엑스포~1" xfId="4185" xr:uid="{00000000-0005-0000-0000-00006D0E0000}"/>
    <cellStyle name="2_단가조사표_엑스포한빛1" xfId="4186" xr:uid="{00000000-0005-0000-0000-00006E0E0000}"/>
    <cellStyle name="2_단가조사표_원가계~1" xfId="4187" xr:uid="{00000000-0005-0000-0000-00006F0E0000}"/>
    <cellStyle name="2_단가조사표_유기질" xfId="4188" xr:uid="{00000000-0005-0000-0000-0000700E0000}"/>
    <cellStyle name="2_단가조사표_자재조서 (2)" xfId="4189" xr:uid="{00000000-0005-0000-0000-0000710E0000}"/>
    <cellStyle name="2_단가조사표_총괄내역" xfId="4190" xr:uid="{00000000-0005-0000-0000-0000720E0000}"/>
    <cellStyle name="2_단가조사표_총괄내역 (2)" xfId="4191" xr:uid="{00000000-0005-0000-0000-0000730E0000}"/>
    <cellStyle name="2_단가조사표_포장일위" xfId="4192" xr:uid="{00000000-0005-0000-0000-0000740E0000}"/>
    <cellStyle name="3" xfId="4193" xr:uid="{00000000-0005-0000-0000-0000750E0000}"/>
    <cellStyle name="³?a￥" xfId="2097" xr:uid="{00000000-0005-0000-0000-0000760E0000}"/>
    <cellStyle name="3_견적가" xfId="4194" xr:uid="{00000000-0005-0000-0000-0000770E0000}"/>
    <cellStyle name="3_견적가_2노체시방서" xfId="4195" xr:uid="{00000000-0005-0000-0000-0000780E0000}"/>
    <cellStyle name="3_견적가_3노체시방서" xfId="4196" xr:uid="{00000000-0005-0000-0000-0000790E0000}"/>
    <cellStyle name="3_견적가_시방서" xfId="4197" xr:uid="{00000000-0005-0000-0000-00007A0E0000}"/>
    <cellStyle name="3_견적가_이폭주조시방서" xfId="4198" xr:uid="{00000000-0005-0000-0000-00007B0E0000}"/>
    <cellStyle name="3_견적서비교표" xfId="4199" xr:uid="{00000000-0005-0000-0000-00007C0E0000}"/>
    <cellStyle name="3_견적서비교표_2노체시방서" xfId="4200" xr:uid="{00000000-0005-0000-0000-00007D0E0000}"/>
    <cellStyle name="3_견적서비교표_3노체시방서" xfId="4201" xr:uid="{00000000-0005-0000-0000-00007E0E0000}"/>
    <cellStyle name="3_견적서비교표_시방서" xfId="4202" xr:uid="{00000000-0005-0000-0000-00007F0E0000}"/>
    <cellStyle name="3_견적서비교표_이폭주조시방서" xfId="4203" xr:uid="{00000000-0005-0000-0000-0000800E0000}"/>
    <cellStyle name="3_견적업체" xfId="4204" xr:uid="{00000000-0005-0000-0000-0000810E0000}"/>
    <cellStyle name="3_견적업체_2노체시방서" xfId="4205" xr:uid="{00000000-0005-0000-0000-0000820E0000}"/>
    <cellStyle name="3_견적업체_3노체시방서" xfId="4206" xr:uid="{00000000-0005-0000-0000-0000830E0000}"/>
    <cellStyle name="3_견적업체_시방서" xfId="4207" xr:uid="{00000000-0005-0000-0000-0000840E0000}"/>
    <cellStyle name="3_견적업체_이폭주조시방서" xfId="4208" xr:uid="{00000000-0005-0000-0000-0000850E0000}"/>
    <cellStyle name="3_산#2-2설비별기본물량산출 집계 " xfId="4209" xr:uid="{00000000-0005-0000-0000-0000860E0000}"/>
    <cellStyle name="3_산#2-2설비별기본물량산출 집계 _20DECANT-A" xfId="4211" xr:uid="{00000000-0005-0000-0000-0000870E0000}"/>
    <cellStyle name="3_산#2-2설비별기본물량산출 집계 _20DECANT-A_열연설계설명서" xfId="4212" xr:uid="{00000000-0005-0000-0000-0000880E0000}"/>
    <cellStyle name="3_산#2-2설비별기본물량산출 집계 _20DECANT-A_열연설계설명서_부산대학교-연구동(샘플)" xfId="4213" xr:uid="{00000000-0005-0000-0000-0000890E0000}"/>
    <cellStyle name="3_산#2-2설비별기본물량산출 집계 _20DECANT-A_자탐-설계설명서" xfId="4214" xr:uid="{00000000-0005-0000-0000-00008A0E0000}"/>
    <cellStyle name="3_산#2-2설비별기본물량산출 집계 _20DECANT-C" xfId="4215" xr:uid="{00000000-0005-0000-0000-00008B0E0000}"/>
    <cellStyle name="3_산#2-2설비별기본물량산출 집계 _20DECANT-C_열연설계설명서" xfId="4216" xr:uid="{00000000-0005-0000-0000-00008C0E0000}"/>
    <cellStyle name="3_산#2-2설비별기본물량산출 집계 _20DECANT-C_열연설계설명서_부산대학교-연구동(샘플)" xfId="4217" xr:uid="{00000000-0005-0000-0000-00008D0E0000}"/>
    <cellStyle name="3_산#2-2설비별기본물량산출 집계 _20DECANT-C_자탐-설계설명서" xfId="4218" xr:uid="{00000000-0005-0000-0000-00008E0E0000}"/>
    <cellStyle name="3_산#2-2설비별기본물량산출 집계 _20DECANT-사양서" xfId="4210" xr:uid="{00000000-0005-0000-0000-00008F0E0000}"/>
    <cellStyle name="3_산#2-2설비별기본물량산출 집계 _b" xfId="4224" xr:uid="{00000000-0005-0000-0000-0000900E0000}"/>
    <cellStyle name="3_산#2-2설비별기본물량산출 집계 _b_열연설계설명서" xfId="4225" xr:uid="{00000000-0005-0000-0000-0000910E0000}"/>
    <cellStyle name="3_산#2-2설비별기본물량산출 집계 _b_열연설계설명서_부산대학교-연구동(샘플)" xfId="4226" xr:uid="{00000000-0005-0000-0000-0000920E0000}"/>
    <cellStyle name="3_산#2-2설비별기본물량산출 집계 _b_자탐-설계설명서" xfId="4227" xr:uid="{00000000-0005-0000-0000-0000930E0000}"/>
    <cellStyle name="3_산#2-2설비별기본물량산출 집계 _열연설계설명서" xfId="4219" xr:uid="{00000000-0005-0000-0000-0000940E0000}"/>
    <cellStyle name="3_산#2-2설비별기본물량산출 집계 _열연설계설명서_부산대학교-연구동(샘플)" xfId="4220" xr:uid="{00000000-0005-0000-0000-0000950E0000}"/>
    <cellStyle name="3_산#2-2설비별기본물량산출 집계 _자탐-설계설명서" xfId="4221" xr:uid="{00000000-0005-0000-0000-0000960E0000}"/>
    <cellStyle name="3_산#2-2설비별기본물량산출 집계 _화4-2기" xfId="4222" xr:uid="{00000000-0005-0000-0000-0000970E0000}"/>
    <cellStyle name="3_산#2-2설비별기본물량산출 집계 _화4기" xfId="4223" xr:uid="{00000000-0005-0000-0000-0000980E0000}"/>
    <cellStyle name="3_산#7-5 비파괴검사(RT) " xfId="4228" xr:uid="{00000000-0005-0000-0000-0000990E0000}"/>
    <cellStyle name="3_산세약품소요량 " xfId="4229" xr:uid="{00000000-0005-0000-0000-00009A0E0000}"/>
    <cellStyle name="3_산세약품소요량 _20DECANT-A" xfId="4231" xr:uid="{00000000-0005-0000-0000-00009B0E0000}"/>
    <cellStyle name="3_산세약품소요량 _20DECANT-A_열연설계설명서" xfId="4232" xr:uid="{00000000-0005-0000-0000-00009C0E0000}"/>
    <cellStyle name="3_산세약품소요량 _20DECANT-A_열연설계설명서_부산대학교-연구동(샘플)" xfId="4233" xr:uid="{00000000-0005-0000-0000-00009D0E0000}"/>
    <cellStyle name="3_산세약품소요량 _20DECANT-A_자탐-설계설명서" xfId="4234" xr:uid="{00000000-0005-0000-0000-00009E0E0000}"/>
    <cellStyle name="3_산세약품소요량 _20DECANT-C" xfId="4235" xr:uid="{00000000-0005-0000-0000-00009F0E0000}"/>
    <cellStyle name="3_산세약품소요량 _20DECANT-C_열연설계설명서" xfId="4236" xr:uid="{00000000-0005-0000-0000-0000A00E0000}"/>
    <cellStyle name="3_산세약품소요량 _20DECANT-C_열연설계설명서_부산대학교-연구동(샘플)" xfId="4237" xr:uid="{00000000-0005-0000-0000-0000A10E0000}"/>
    <cellStyle name="3_산세약품소요량 _20DECANT-C_자탐-설계설명서" xfId="4238" xr:uid="{00000000-0005-0000-0000-0000A20E0000}"/>
    <cellStyle name="3_산세약품소요량 _20DECANT-사양서" xfId="4230" xr:uid="{00000000-0005-0000-0000-0000A30E0000}"/>
    <cellStyle name="3_산세약품소요량 _b" xfId="4244" xr:uid="{00000000-0005-0000-0000-0000A40E0000}"/>
    <cellStyle name="3_산세약품소요량 _b_열연설계설명서" xfId="4245" xr:uid="{00000000-0005-0000-0000-0000A50E0000}"/>
    <cellStyle name="3_산세약품소요량 _b_열연설계설명서_부산대학교-연구동(샘플)" xfId="4246" xr:uid="{00000000-0005-0000-0000-0000A60E0000}"/>
    <cellStyle name="3_산세약품소요량 _b_자탐-설계설명서" xfId="4247" xr:uid="{00000000-0005-0000-0000-0000A70E0000}"/>
    <cellStyle name="3_산세약품소요량 _열연설계설명서" xfId="4239" xr:uid="{00000000-0005-0000-0000-0000A80E0000}"/>
    <cellStyle name="3_산세약품소요량 _열연설계설명서_부산대학교-연구동(샘플)" xfId="4240" xr:uid="{00000000-0005-0000-0000-0000A90E0000}"/>
    <cellStyle name="3_산세약품소요량 _자탐-설계설명서" xfId="4241" xr:uid="{00000000-0005-0000-0000-0000AA0E0000}"/>
    <cellStyle name="3_산세약품소요량 _화4-2기" xfId="4242" xr:uid="{00000000-0005-0000-0000-0000AB0E0000}"/>
    <cellStyle name="3_산세약품소요량 _화4기" xfId="4243" xr:uid="{00000000-0005-0000-0000-0000AC0E0000}"/>
    <cellStyle name="3_첨부" xfId="4248" xr:uid="{00000000-0005-0000-0000-0000AD0E0000}"/>
    <cellStyle name="3_첨부_2노체시방서" xfId="4249" xr:uid="{00000000-0005-0000-0000-0000AE0E0000}"/>
    <cellStyle name="3_첨부_3노체시방서" xfId="4250" xr:uid="{00000000-0005-0000-0000-0000AF0E0000}"/>
    <cellStyle name="3_첨부_시방서" xfId="4251" xr:uid="{00000000-0005-0000-0000-0000B00E0000}"/>
    <cellStyle name="3_첨부_이폭주조시방서" xfId="4252" xr:uid="{00000000-0005-0000-0000-0000B10E0000}"/>
    <cellStyle name="60" xfId="2098" xr:uid="{00000000-0005-0000-0000-0000B20E0000}"/>
    <cellStyle name="_x0014_7." xfId="4253" xr:uid="{00000000-0005-0000-0000-0000B30E0000}"/>
    <cellStyle name="82" xfId="4254" xr:uid="{00000000-0005-0000-0000-0000B40E0000}"/>
    <cellStyle name="9.6" xfId="4255" xr:uid="{00000000-0005-0000-0000-0000B50E0000}"/>
    <cellStyle name="90" xfId="4256" xr:uid="{00000000-0005-0000-0000-0000B60E0000}"/>
    <cellStyle name="A" xfId="2310" xr:uid="{00000000-0005-0000-0000-0000B70E0000}"/>
    <cellStyle name="A 2" xfId="5189" xr:uid="{00000000-0005-0000-0000-0000B80E0000}"/>
    <cellStyle name="Ā _x0010_က랐_xdc01_땯_x0001_" xfId="2311" xr:uid="{00000000-0005-0000-0000-0000B90E0000}"/>
    <cellStyle name="A¡§¡ⓒ¡E¡þ¡EO [0]_¡§uc¡§oA " xfId="2312" xr:uid="{00000000-0005-0000-0000-0000BA0E0000}"/>
    <cellStyle name="A¡§¡ⓒ¡E¡þ¡EO_¡§uc¡§oA " xfId="2313" xr:uid="{00000000-0005-0000-0000-0000BB0E0000}"/>
    <cellStyle name="A¨­￠￢￠O [0]_ ¨￢n￠￢n¨￢¡Æ ￠?u¨￢¡Æ¡¾a¨uu " xfId="4974" xr:uid="{00000000-0005-0000-0000-0000BC0E0000}"/>
    <cellStyle name="A¨­¢¬¢Ò [0]_¨úc¨öA " xfId="2314" xr:uid="{00000000-0005-0000-0000-0000BD0E0000}"/>
    <cellStyle name="A¨­￠￢￠O [0]_3￠?u¨uoAⓒ÷ " xfId="2315" xr:uid="{00000000-0005-0000-0000-0000BE0E0000}"/>
    <cellStyle name="A¨­¢¬¢Ò [0]_4PART " xfId="2316" xr:uid="{00000000-0005-0000-0000-0000BF0E0000}"/>
    <cellStyle name="A¨­￠￢￠O [0]_A|A￠O1¨￢I1¡Æu CoEⓒ÷ " xfId="2317" xr:uid="{00000000-0005-0000-0000-0000C00E0000}"/>
    <cellStyle name="A¨­¢¬¢Ò [0]_C¡Æ¢¬n¨¬¡Æ " xfId="2318" xr:uid="{00000000-0005-0000-0000-0000C10E0000}"/>
    <cellStyle name="A¨­￠￢￠O [0]_ⓒoⓒ¡A¨o¨￢R " xfId="2319" xr:uid="{00000000-0005-0000-0000-0000C20E0000}"/>
    <cellStyle name="A¨­￠￢￠O_ ¨￢n￠￢n¨￢¡Æ ￠?u¨￢¡Æ¡¾a¨uu " xfId="4975" xr:uid="{00000000-0005-0000-0000-0000C30E0000}"/>
    <cellStyle name="A¨­¢¬¢Ò_¨úc¨öA " xfId="2320" xr:uid="{00000000-0005-0000-0000-0000C40E0000}"/>
    <cellStyle name="A¨­￠￢￠O_3￠?u¨uoAⓒ÷ " xfId="2321" xr:uid="{00000000-0005-0000-0000-0000C50E0000}"/>
    <cellStyle name="A¨­¢¬¢Ò_95©øaAN¡Æy¨ùo¡¤R " xfId="2322" xr:uid="{00000000-0005-0000-0000-0000C60E0000}"/>
    <cellStyle name="A¨­￠￢￠O_A|A￠O1¨￢I1¡Æu CoEⓒ÷ " xfId="2323" xr:uid="{00000000-0005-0000-0000-0000C70E0000}"/>
    <cellStyle name="A¨­¢¬¢Ò_C¡Æ¢¬n¨¬¡Æ " xfId="2324" xr:uid="{00000000-0005-0000-0000-0000C80E0000}"/>
    <cellStyle name="A¨­￠￢￠O_ⓒoⓒ¡A¨o¨￢R " xfId="2325" xr:uid="{00000000-0005-0000-0000-0000C90E0000}"/>
    <cellStyle name="A￠R¡×￠R¨I￠RE￠Rⓒ­￠REO [0]_INQUIRY ￠RE?￠RIi￠R¡×u¡ERAA¡§I￠Rⓒ­A¡§I¡§¡I " xfId="4976" xr:uid="{00000000-0005-0000-0000-0000CA0E0000}"/>
    <cellStyle name="A￠R¡×￠R¨I￠RE￠Rⓒ­￠REO_INQUIRY ￠RE?￠RIi￠R¡×u¡ERAA¡§I￠Rⓒ­A¡§I¡§¡I " xfId="4977" xr:uid="{00000000-0005-0000-0000-0000CB0E0000}"/>
    <cellStyle name="a-4" xfId="4978" xr:uid="{00000000-0005-0000-0000-0000CC0E0000}"/>
    <cellStyle name="AA" xfId="2326" xr:uid="{00000000-0005-0000-0000-0000CD0E0000}"/>
    <cellStyle name="ȂȃRMऌଃਁȋ⤭ࠀȄԂȂ(ȃRMऌଃਁȋ⤂Ā飰ˠ" xfId="2327" xr:uid="{00000000-0005-0000-0000-0000CE0E0000}"/>
    <cellStyle name="Aⓒ­" xfId="2328" xr:uid="{00000000-0005-0000-0000-0000CF0E0000}"/>
    <cellStyle name="Aⓒ­ 2" xfId="5190" xr:uid="{00000000-0005-0000-0000-0000D00E0000}"/>
    <cellStyle name="Actual Date" xfId="2329" xr:uid="{00000000-0005-0000-0000-0000D10E0000}"/>
    <cellStyle name="Ae" xfId="2330" xr:uid="{00000000-0005-0000-0000-0000D20E0000}"/>
    <cellStyle name="Åë" xfId="4979" xr:uid="{00000000-0005-0000-0000-0000D30E0000}"/>
    <cellStyle name="Ae 10" xfId="5174" xr:uid="{00000000-0005-0000-0000-0000D40E0000}"/>
    <cellStyle name="Ae 11" xfId="5158" xr:uid="{00000000-0005-0000-0000-0000D50E0000}"/>
    <cellStyle name="Ae 12" xfId="5203" xr:uid="{00000000-0005-0000-0000-0000D60E0000}"/>
    <cellStyle name="Ae 13" xfId="5156" xr:uid="{00000000-0005-0000-0000-0000D70E0000}"/>
    <cellStyle name="Ae 14" xfId="5155" xr:uid="{00000000-0005-0000-0000-0000D80E0000}"/>
    <cellStyle name="Ae 15" xfId="5197" xr:uid="{00000000-0005-0000-0000-0000D90E0000}"/>
    <cellStyle name="Ae 16" xfId="5148" xr:uid="{00000000-0005-0000-0000-0000DA0E0000}"/>
    <cellStyle name="Ae 17" xfId="5170" xr:uid="{00000000-0005-0000-0000-0000DB0E0000}"/>
    <cellStyle name="Ae 18" xfId="5267" xr:uid="{00000000-0005-0000-0000-0000DC0E0000}"/>
    <cellStyle name="Ae 2" xfId="5191" xr:uid="{00000000-0005-0000-0000-0000DD0E0000}"/>
    <cellStyle name="Ae 3" xfId="5201" xr:uid="{00000000-0005-0000-0000-0000DE0E0000}"/>
    <cellStyle name="Ae 4" xfId="5208" xr:uid="{00000000-0005-0000-0000-0000DF0E0000}"/>
    <cellStyle name="Ae 5" xfId="5151" xr:uid="{00000000-0005-0000-0000-0000E00E0000}"/>
    <cellStyle name="Ae 6" xfId="5199" xr:uid="{00000000-0005-0000-0000-0000E10E0000}"/>
    <cellStyle name="Ae 7" xfId="5200" xr:uid="{00000000-0005-0000-0000-0000E20E0000}"/>
    <cellStyle name="Ae 8" xfId="5205" xr:uid="{00000000-0005-0000-0000-0000E30E0000}"/>
    <cellStyle name="Ae 9" xfId="5157" xr:uid="{00000000-0005-0000-0000-0000E40E0000}"/>
    <cellStyle name="Aee­" xfId="4980" xr:uid="{00000000-0005-0000-0000-0000E50E0000}"/>
    <cellStyle name="Aee­ " xfId="2331" xr:uid="{00000000-0005-0000-0000-0000E60E0000}"/>
    <cellStyle name="Aee­  2" xfId="5192" xr:uid="{00000000-0005-0000-0000-0000E70E0000}"/>
    <cellStyle name="Åëè­ [" xfId="4981" xr:uid="{00000000-0005-0000-0000-0000E80E0000}"/>
    <cellStyle name="Aee­ [0]" xfId="4982" xr:uid="{00000000-0005-0000-0000-0000E90E0000}"/>
    <cellStyle name="ÅëÈ­ [0]_´ë°¡ (2)" xfId="4983" xr:uid="{00000000-0005-0000-0000-0000EA0E0000}"/>
    <cellStyle name="AeE­ [0]_´eAN°yC￥ " xfId="4984" xr:uid="{00000000-0005-0000-0000-0000EB0E0000}"/>
    <cellStyle name="ÅëÈ­ [0]_¸ðÇü¸·" xfId="2332" xr:uid="{00000000-0005-0000-0000-0000EC0E0000}"/>
    <cellStyle name="AeE­ [0]_¿­¸° INT" xfId="4985" xr:uid="{00000000-0005-0000-0000-0000ED0E0000}"/>
    <cellStyle name="ÅëÈ­ [0]_°ü¸®Ç×¸ñ_¾÷Á¾º° " xfId="4986" xr:uid="{00000000-0005-0000-0000-0000EE0E0000}"/>
    <cellStyle name="AeE­ [0]_¼oAI¼º " xfId="2333" xr:uid="{00000000-0005-0000-0000-0000EF0E0000}"/>
    <cellStyle name="ÅëÈ­ [0]_¾÷Á¾º° " xfId="2334" xr:uid="{00000000-0005-0000-0000-0000F00E0000}"/>
    <cellStyle name="AeE­ [0]_¾c½A " xfId="2335" xr:uid="{00000000-0005-0000-0000-0000F10E0000}"/>
    <cellStyle name="ÅëÈ­ [0]_¹æÀ½º® " xfId="2336" xr:uid="{00000000-0005-0000-0000-0000F20E0000}"/>
    <cellStyle name="AeE­ [0]_4PART " xfId="2337" xr:uid="{00000000-0005-0000-0000-0000F30E0000}"/>
    <cellStyle name="ÅëÈ­ [0]_Á¦Á¶1ºÎ1°ú ÇöÈ² " xfId="2338" xr:uid="{00000000-0005-0000-0000-0000F40E0000}"/>
    <cellStyle name="AeE­ [0]_A¾CO½A¼³ " xfId="2339" xr:uid="{00000000-0005-0000-0000-0000F50E0000}"/>
    <cellStyle name="ÅëÈ­ [0]_Á¾ÇÕ½Å¼³ " xfId="4987" xr:uid="{00000000-0005-0000-0000-0000F60E0000}"/>
    <cellStyle name="AeE­ [0]_A¾COA¶°AºÐ " xfId="4988" xr:uid="{00000000-0005-0000-0000-0000F70E0000}"/>
    <cellStyle name="ÅëÈ­ [0]_Á¾ÇÕÃ¶°ÅºÐ " xfId="4989" xr:uid="{00000000-0005-0000-0000-0000F80E0000}"/>
    <cellStyle name="AeE­ [0]_AMT " xfId="4990" xr:uid="{00000000-0005-0000-0000-0000F90E0000}"/>
    <cellStyle name="ÅëÈ­ [0]_INQUIRY ¿µ¾÷ÃßÁø " xfId="2340" xr:uid="{00000000-0005-0000-0000-0000FA0E0000}"/>
    <cellStyle name="AeE­ [0]_INQUIRY ¿μ¾÷AßAø " xfId="2341" xr:uid="{00000000-0005-0000-0000-0000FB0E0000}"/>
    <cellStyle name="ÅëÈ­ [0]_laroux" xfId="2342" xr:uid="{00000000-0005-0000-0000-0000FC0E0000}"/>
    <cellStyle name="AeE­ [0]_laroux_1" xfId="2343" xr:uid="{00000000-0005-0000-0000-0000FD0E0000}"/>
    <cellStyle name="ÅëÈ­ [0]_laroux_1" xfId="2344" xr:uid="{00000000-0005-0000-0000-0000FE0E0000}"/>
    <cellStyle name="AeE­ [0]_laroux_1_국학진흥원(정산6-13)" xfId="2345" xr:uid="{00000000-0005-0000-0000-0000FF0E0000}"/>
    <cellStyle name="ÅëÈ­ [0]_laroux_1_국학진흥원(정산6-13)" xfId="2346" xr:uid="{00000000-0005-0000-0000-0000000F0000}"/>
    <cellStyle name="AeE­ [0]_laroux_1_대구종합전시관" xfId="2347" xr:uid="{00000000-0005-0000-0000-0000010F0000}"/>
    <cellStyle name="ÅëÈ­ [0]_laroux_1_대구종합전시관" xfId="2348" xr:uid="{00000000-0005-0000-0000-0000020F0000}"/>
    <cellStyle name="AeE­ [0]_laroux_2" xfId="2349" xr:uid="{00000000-0005-0000-0000-0000030F0000}"/>
    <cellStyle name="ÅëÈ­ [0]_laroux_2" xfId="2350" xr:uid="{00000000-0005-0000-0000-0000040F0000}"/>
    <cellStyle name="AeE­ [0]_laroux_2_국학진흥원(정산6-13)" xfId="2351" xr:uid="{00000000-0005-0000-0000-0000050F0000}"/>
    <cellStyle name="ÅëÈ­ [0]_laroux_2_국학진흥원(정산6-13)" xfId="2352" xr:uid="{00000000-0005-0000-0000-0000060F0000}"/>
    <cellStyle name="AeE­ [0]_laroux_2_대구종합전시관" xfId="2353" xr:uid="{00000000-0005-0000-0000-0000070F0000}"/>
    <cellStyle name="ÅëÈ­ [0]_laroux_2_대구종합전시관" xfId="2354" xr:uid="{00000000-0005-0000-0000-0000080F0000}"/>
    <cellStyle name="AeE­ [0]_laroux_국학진흥원(정산6-13)" xfId="2355" xr:uid="{00000000-0005-0000-0000-0000090F0000}"/>
    <cellStyle name="ÅëÈ­ [0]_laroux_국학진흥원(정산6-13)" xfId="2356" xr:uid="{00000000-0005-0000-0000-00000A0F0000}"/>
    <cellStyle name="AeE­ [0]_laroux_대구종합전시관" xfId="2357" xr:uid="{00000000-0005-0000-0000-00000B0F0000}"/>
    <cellStyle name="ÅëÈ­ [0]_laroux_대구종합전시관" xfId="2358" xr:uid="{00000000-0005-0000-0000-00000C0F0000}"/>
    <cellStyle name="AeE­ [0]_º≫¼± ±æ¾i±uºI ¼o·R Ay°eC￥ " xfId="2359" xr:uid="{00000000-0005-0000-0000-00000D0F0000}"/>
    <cellStyle name="ÅëÈ­ [0]_ºÙÀÓ2-1 " xfId="2360" xr:uid="{00000000-0005-0000-0000-00000E0F0000}"/>
    <cellStyle name="AeE­ [0]_PERSONAL" xfId="2361" xr:uid="{00000000-0005-0000-0000-00000F0F0000}"/>
    <cellStyle name="Aee­ _06년)하이패스_점검내역" xfId="4991" xr:uid="{00000000-0005-0000-0000-0000100F0000}"/>
    <cellStyle name="AeE­_  A¾  CO  " xfId="2362" xr:uid="{00000000-0005-0000-0000-0000110F0000}"/>
    <cellStyle name="ÅëÈ­_´ë°¡ (2)" xfId="4992" xr:uid="{00000000-0005-0000-0000-0000120F0000}"/>
    <cellStyle name="AeE­_´eAN°yC￥ " xfId="4993" xr:uid="{00000000-0005-0000-0000-0000130F0000}"/>
    <cellStyle name="ÅëÈ­_¸ðÇü¸·" xfId="2363" xr:uid="{00000000-0005-0000-0000-0000140F0000}"/>
    <cellStyle name="AeE­_¿­¸° INT" xfId="4994" xr:uid="{00000000-0005-0000-0000-0000150F0000}"/>
    <cellStyle name="ÅëÈ­_°ü¸®Ç×¸ñ_¾÷Á¾º° " xfId="4995" xr:uid="{00000000-0005-0000-0000-0000160F0000}"/>
    <cellStyle name="AeE­_¼oAI¼º " xfId="2364" xr:uid="{00000000-0005-0000-0000-0000170F0000}"/>
    <cellStyle name="ÅëÈ­_¾÷Á¾º° " xfId="2365" xr:uid="{00000000-0005-0000-0000-0000180F0000}"/>
    <cellStyle name="AeE­_¾c½A " xfId="2366" xr:uid="{00000000-0005-0000-0000-0000190F0000}"/>
    <cellStyle name="ÅëÈ­_¹æÀ½º® " xfId="2367" xr:uid="{00000000-0005-0000-0000-00001A0F0000}"/>
    <cellStyle name="AeE­_4PART " xfId="2368" xr:uid="{00000000-0005-0000-0000-00001B0F0000}"/>
    <cellStyle name="ÅëÈ­_Á¦Á¶1ºÎ1°ú ÇöÈ² " xfId="2369" xr:uid="{00000000-0005-0000-0000-00001C0F0000}"/>
    <cellStyle name="AeE­_A¾CO½A¼³ " xfId="2370" xr:uid="{00000000-0005-0000-0000-00001D0F0000}"/>
    <cellStyle name="ÅëÈ­_Á¾ÇÕ½Å¼³ " xfId="4996" xr:uid="{00000000-0005-0000-0000-00001E0F0000}"/>
    <cellStyle name="AeE­_A¾COA¶°AºÐ " xfId="4997" xr:uid="{00000000-0005-0000-0000-00001F0F0000}"/>
    <cellStyle name="ÅëÈ­_Á¾ÇÕÃ¶°ÅºÐ " xfId="4998" xr:uid="{00000000-0005-0000-0000-0000200F0000}"/>
    <cellStyle name="AeE­_AMT " xfId="4999" xr:uid="{00000000-0005-0000-0000-0000210F0000}"/>
    <cellStyle name="ÅëÈ­_INQUIRY ¿µ¾÷ÃßÁø " xfId="2371" xr:uid="{00000000-0005-0000-0000-0000220F0000}"/>
    <cellStyle name="AeE­_INQUIRY ¿μ¾÷AßAø " xfId="2372" xr:uid="{00000000-0005-0000-0000-0000230F0000}"/>
    <cellStyle name="ÅëÈ­_laroux" xfId="2373" xr:uid="{00000000-0005-0000-0000-0000240F0000}"/>
    <cellStyle name="AeE­_laroux_1" xfId="2374" xr:uid="{00000000-0005-0000-0000-0000250F0000}"/>
    <cellStyle name="ÅëÈ­_laroux_1" xfId="2375" xr:uid="{00000000-0005-0000-0000-0000260F0000}"/>
    <cellStyle name="AeE­_laroux_1_국학진흥원(정산6-13)" xfId="2376" xr:uid="{00000000-0005-0000-0000-0000270F0000}"/>
    <cellStyle name="ÅëÈ­_laroux_1_국학진흥원(정산6-13)" xfId="2377" xr:uid="{00000000-0005-0000-0000-0000280F0000}"/>
    <cellStyle name="AeE­_laroux_1_대구종합전시관" xfId="2378" xr:uid="{00000000-0005-0000-0000-0000290F0000}"/>
    <cellStyle name="ÅëÈ­_laroux_1_대구종합전시관" xfId="2379" xr:uid="{00000000-0005-0000-0000-00002A0F0000}"/>
    <cellStyle name="AeE­_laroux_2" xfId="2380" xr:uid="{00000000-0005-0000-0000-00002B0F0000}"/>
    <cellStyle name="ÅëÈ­_laroux_2" xfId="2381" xr:uid="{00000000-0005-0000-0000-00002C0F0000}"/>
    <cellStyle name="AeE­_laroux_2_국학진흥원(정산6-13)" xfId="2382" xr:uid="{00000000-0005-0000-0000-00002D0F0000}"/>
    <cellStyle name="ÅëÈ­_laroux_2_국학진흥원(정산6-13)" xfId="2383" xr:uid="{00000000-0005-0000-0000-00002E0F0000}"/>
    <cellStyle name="AeE­_laroux_2_대구종합전시관" xfId="2384" xr:uid="{00000000-0005-0000-0000-00002F0F0000}"/>
    <cellStyle name="ÅëÈ­_laroux_2_대구종합전시관" xfId="2385" xr:uid="{00000000-0005-0000-0000-0000300F0000}"/>
    <cellStyle name="AeE­_laroux_국학진흥원(정산6-13)" xfId="2386" xr:uid="{00000000-0005-0000-0000-0000310F0000}"/>
    <cellStyle name="ÅëÈ­_laroux_국학진흥원(정산6-13)" xfId="2387" xr:uid="{00000000-0005-0000-0000-0000320F0000}"/>
    <cellStyle name="AeE­_laroux_대구종합전시관" xfId="2388" xr:uid="{00000000-0005-0000-0000-0000330F0000}"/>
    <cellStyle name="ÅëÈ­_laroux_대구종합전시관" xfId="2389" xr:uid="{00000000-0005-0000-0000-0000340F0000}"/>
    <cellStyle name="AeE­_º≫¼± ±æ¾i±uºI ¼o·R Ay°eC￥ " xfId="2390" xr:uid="{00000000-0005-0000-0000-0000350F0000}"/>
    <cellStyle name="ÅëÈ­_ºÙÀÓ2-1 " xfId="2391" xr:uid="{00000000-0005-0000-0000-0000360F0000}"/>
    <cellStyle name="AeE­_PERSONAL" xfId="2392" xr:uid="{00000000-0005-0000-0000-0000370F0000}"/>
    <cellStyle name="Aee¡" xfId="2393" xr:uid="{00000000-0005-0000-0000-0000380F0000}"/>
    <cellStyle name="Aee¡ 2" xfId="5193" xr:uid="{00000000-0005-0000-0000-0000390F0000}"/>
    <cellStyle name="AeE¡© [0]_¨úc¨öA " xfId="2394" xr:uid="{00000000-0005-0000-0000-00003A0F0000}"/>
    <cellStyle name="AeE¡©_¨úc¨öA " xfId="2395" xr:uid="{00000000-0005-0000-0000-00003B0F0000}"/>
    <cellStyle name="AeE¡ⓒ [0]_ ¨￢n￠￢n¨￢¡Æ ￠?u¨￢¡Æ¡¾a¨uu " xfId="5000" xr:uid="{00000000-0005-0000-0000-00003C0F0000}"/>
    <cellStyle name="AeE¡ⓒ_ ¨￢n￠￢n¨￢¡Æ ￠?u¨￢¡Æ¡¾a¨uu " xfId="5001" xr:uid="{00000000-0005-0000-0000-00003D0F0000}"/>
    <cellStyle name="AeE¡ER¡§I [0]_INQUIRY ￠RE?￠RIi￠R¡×u¡ERAA¡§I￠Rⓒ­A¡§I¡§¡I " xfId="5002" xr:uid="{00000000-0005-0000-0000-00003E0F0000}"/>
    <cellStyle name="AeE¡ER¡§I_INQUIRY ￠RE?￠RIi￠R¡×u¡ERAA¡§I￠Rⓒ­A¡§I¡§¡I " xfId="5003" xr:uid="{00000000-0005-0000-0000-00003F0F0000}"/>
    <cellStyle name="AeE￠R¨I [0]_¡§uc¡§oA " xfId="2396" xr:uid="{00000000-0005-0000-0000-0000400F0000}"/>
    <cellStyle name="AeE￠R¨I_¡§uc¡§oA " xfId="2397" xr:uid="{00000000-0005-0000-0000-0000410F0000}"/>
    <cellStyle name="Æu¼¾æR" xfId="2398" xr:uid="{00000000-0005-0000-0000-0000420F0000}"/>
    <cellStyle name="ALIGNMENT" xfId="2399" xr:uid="{00000000-0005-0000-0000-0000430F0000}"/>
    <cellStyle name="AoA¤μCAo ¾EA½" xfId="2400" xr:uid="{00000000-0005-0000-0000-0000440F0000}"/>
    <cellStyle name="args.style" xfId="5004" xr:uid="{00000000-0005-0000-0000-0000450F0000}"/>
    <cellStyle name="Äþ" xfId="5005" xr:uid="{00000000-0005-0000-0000-0000460F0000}"/>
    <cellStyle name="Aþ¸" xfId="2401" xr:uid="{00000000-0005-0000-0000-0000470F0000}"/>
    <cellStyle name="Aþ¸ 2" xfId="5194" xr:uid="{00000000-0005-0000-0000-0000480F0000}"/>
    <cellStyle name="Aþ¸¶" xfId="5006" xr:uid="{00000000-0005-0000-0000-0000490F0000}"/>
    <cellStyle name="Äþ¸¶ [" xfId="5007" xr:uid="{00000000-0005-0000-0000-00004A0F0000}"/>
    <cellStyle name="Aþ¸¶ [0]" xfId="5008" xr:uid="{00000000-0005-0000-0000-00004B0F0000}"/>
    <cellStyle name="ÄÞ¸¶ [0]_´ë°¡ (2)" xfId="5009" xr:uid="{00000000-0005-0000-0000-00004C0F0000}"/>
    <cellStyle name="AÞ¸¶ [0]_´eAN°yC￥ " xfId="5010" xr:uid="{00000000-0005-0000-0000-00004D0F0000}"/>
    <cellStyle name="ÄÞ¸¶ [0]_¸ðÇü¸·" xfId="2402" xr:uid="{00000000-0005-0000-0000-00004E0F0000}"/>
    <cellStyle name="AÞ¸¶ [0]_¿­¸° INT" xfId="5011" xr:uid="{00000000-0005-0000-0000-00004F0F0000}"/>
    <cellStyle name="ÄÞ¸¶ [0]_°ü¸®BS('98) " xfId="5012" xr:uid="{00000000-0005-0000-0000-0000500F0000}"/>
    <cellStyle name="AÞ¸¶ [0]_¼oAI¼º " xfId="2403" xr:uid="{00000000-0005-0000-0000-0000510F0000}"/>
    <cellStyle name="ÄÞ¸¶ [0]_¾÷Á¾º° " xfId="2404" xr:uid="{00000000-0005-0000-0000-0000520F0000}"/>
    <cellStyle name="AÞ¸¶ [0]_¾c½A " xfId="2405" xr:uid="{00000000-0005-0000-0000-0000530F0000}"/>
    <cellStyle name="ÄÞ¸¶ [0]_¹æÀ½º® " xfId="2406" xr:uid="{00000000-0005-0000-0000-0000540F0000}"/>
    <cellStyle name="AÞ¸¶ [0]_4PART " xfId="2407" xr:uid="{00000000-0005-0000-0000-0000550F0000}"/>
    <cellStyle name="ÄÞ¸¶ [0]_Á¦Á¶1ºÎ1°ú ÇöÈ² " xfId="2408" xr:uid="{00000000-0005-0000-0000-0000560F0000}"/>
    <cellStyle name="AÞ¸¶ [0]_A¾CO½A¼³ " xfId="2409" xr:uid="{00000000-0005-0000-0000-0000570F0000}"/>
    <cellStyle name="ÄÞ¸¶ [0]_Á¾ÇÕ½Å¼³ " xfId="5013" xr:uid="{00000000-0005-0000-0000-0000580F0000}"/>
    <cellStyle name="AÞ¸¶ [0]_A¾COA¶°AºÐ " xfId="5014" xr:uid="{00000000-0005-0000-0000-0000590F0000}"/>
    <cellStyle name="ÄÞ¸¶ [0]_Á¾ÇÕÃ¶°ÅºÐ " xfId="5015" xr:uid="{00000000-0005-0000-0000-00005A0F0000}"/>
    <cellStyle name="AÞ¸¶ [0]_AN°y(1.25) " xfId="5016" xr:uid="{00000000-0005-0000-0000-00005B0F0000}"/>
    <cellStyle name="ÄÞ¸¶ [0]_INQUIRY ¿µ¾÷ÃßÁø " xfId="2410" xr:uid="{00000000-0005-0000-0000-00005C0F0000}"/>
    <cellStyle name="AÞ¸¶ [0]_INQUIRY ¿μ¾÷AßAø " xfId="2411" xr:uid="{00000000-0005-0000-0000-00005D0F0000}"/>
    <cellStyle name="ÄÞ¸¶ [0]_laroux" xfId="2412" xr:uid="{00000000-0005-0000-0000-00005E0F0000}"/>
    <cellStyle name="AÞ¸¶ [0]_laroux_1" xfId="2413" xr:uid="{00000000-0005-0000-0000-00005F0F0000}"/>
    <cellStyle name="ÄÞ¸¶ [0]_laroux_1" xfId="2414" xr:uid="{00000000-0005-0000-0000-0000600F0000}"/>
    <cellStyle name="AÞ¸¶ [0]_laroux_1_국학진흥원(정산6-13)" xfId="2415" xr:uid="{00000000-0005-0000-0000-0000610F0000}"/>
    <cellStyle name="ÄÞ¸¶ [0]_laroux_1_국학진흥원(정산6-13)" xfId="2416" xr:uid="{00000000-0005-0000-0000-0000620F0000}"/>
    <cellStyle name="AÞ¸¶ [0]_laroux_1_대구종합전시관" xfId="2417" xr:uid="{00000000-0005-0000-0000-0000630F0000}"/>
    <cellStyle name="ÄÞ¸¶ [0]_laroux_1_대구종합전시관" xfId="2418" xr:uid="{00000000-0005-0000-0000-0000640F0000}"/>
    <cellStyle name="AÞ¸¶ [0]_laroux_2" xfId="2419" xr:uid="{00000000-0005-0000-0000-0000650F0000}"/>
    <cellStyle name="ÄÞ¸¶ [0]_laroux_2" xfId="2420" xr:uid="{00000000-0005-0000-0000-0000660F0000}"/>
    <cellStyle name="AÞ¸¶ [0]_laroux_국학진흥원(정산6-13)" xfId="2421" xr:uid="{00000000-0005-0000-0000-0000670F0000}"/>
    <cellStyle name="ÄÞ¸¶ [0]_laroux_국학진흥원(정산6-13)" xfId="2422" xr:uid="{00000000-0005-0000-0000-0000680F0000}"/>
    <cellStyle name="AÞ¸¶ [0]_laroux_대구종합전시관" xfId="2423" xr:uid="{00000000-0005-0000-0000-0000690F0000}"/>
    <cellStyle name="ÄÞ¸¶ [0]_laroux_대구종합전시관" xfId="2424" xr:uid="{00000000-0005-0000-0000-00006A0F0000}"/>
    <cellStyle name="AÞ¸¶ [0]_laroux_도담차량공작실설계서" xfId="5017" xr:uid="{00000000-0005-0000-0000-00006B0F0000}"/>
    <cellStyle name="ÄÞ¸¶ [0]_laroux_도담차량공작실설계서" xfId="5018" xr:uid="{00000000-0005-0000-0000-00006C0F0000}"/>
    <cellStyle name="AÞ¸¶ [0]_laroux_도담차량공작실신설공사" xfId="5019" xr:uid="{00000000-0005-0000-0000-00006D0F0000}"/>
    <cellStyle name="ÄÞ¸¶ [0]_laroux_도담차량공작실신설공사" xfId="5020" xr:uid="{00000000-0005-0000-0000-00006E0F0000}"/>
    <cellStyle name="AÞ¸¶ [0]_laroux_상장가도교설계서" xfId="5021" xr:uid="{00000000-0005-0000-0000-00006F0F0000}"/>
    <cellStyle name="ÄÞ¸¶ [0]_laroux_상장가도교수량산출" xfId="5022" xr:uid="{00000000-0005-0000-0000-0000700F0000}"/>
    <cellStyle name="AÞ¸¶ [0]_º≫¼± ±æ¾i±uºI ¼o·R Ay°eC￥ " xfId="2425" xr:uid="{00000000-0005-0000-0000-0000710F0000}"/>
    <cellStyle name="ÄÞ¸¶ [0]_ºÙÀÓ2-1 " xfId="2426" xr:uid="{00000000-0005-0000-0000-0000720F0000}"/>
    <cellStyle name="AÞ¸¶_  A¾  CO  " xfId="2427" xr:uid="{00000000-0005-0000-0000-0000730F0000}"/>
    <cellStyle name="ÄÞ¸¶_´ë°¡ (2)" xfId="5023" xr:uid="{00000000-0005-0000-0000-0000740F0000}"/>
    <cellStyle name="AÞ¸¶_´eAN°yC￥ " xfId="5024" xr:uid="{00000000-0005-0000-0000-0000750F0000}"/>
    <cellStyle name="ÄÞ¸¶_¸ðÇü¸·" xfId="2428" xr:uid="{00000000-0005-0000-0000-0000760F0000}"/>
    <cellStyle name="AÞ¸¶_¿­¸° INT" xfId="5025" xr:uid="{00000000-0005-0000-0000-0000770F0000}"/>
    <cellStyle name="ÄÞ¸¶_°ü¸®Ç×¸ñ_¾÷Á¾º° " xfId="5026" xr:uid="{00000000-0005-0000-0000-0000780F0000}"/>
    <cellStyle name="AÞ¸¶_¼oAI¼º " xfId="2429" xr:uid="{00000000-0005-0000-0000-0000790F0000}"/>
    <cellStyle name="ÄÞ¸¶_¾÷Á¾º° " xfId="2430" xr:uid="{00000000-0005-0000-0000-00007A0F0000}"/>
    <cellStyle name="AÞ¸¶_¾c½A " xfId="2431" xr:uid="{00000000-0005-0000-0000-00007B0F0000}"/>
    <cellStyle name="ÄÞ¸¶_¹æÀ½º® " xfId="2432" xr:uid="{00000000-0005-0000-0000-00007C0F0000}"/>
    <cellStyle name="AÞ¸¶_95³aAN°y¼o·R " xfId="2433" xr:uid="{00000000-0005-0000-0000-00007D0F0000}"/>
    <cellStyle name="ÄÞ¸¶_Á¦Á¶1ºÎ1°ú ÇöÈ² " xfId="2434" xr:uid="{00000000-0005-0000-0000-00007E0F0000}"/>
    <cellStyle name="AÞ¸¶_A¾CO½A¼³ " xfId="2435" xr:uid="{00000000-0005-0000-0000-00007F0F0000}"/>
    <cellStyle name="ÄÞ¸¶_Á¾ÇÕ½Å¼³ " xfId="5027" xr:uid="{00000000-0005-0000-0000-0000800F0000}"/>
    <cellStyle name="AÞ¸¶_A¾COA¶°AºÐ " xfId="5028" xr:uid="{00000000-0005-0000-0000-0000810F0000}"/>
    <cellStyle name="ÄÞ¸¶_Á¾ÇÕÃ¶°ÅºÐ " xfId="5029" xr:uid="{00000000-0005-0000-0000-0000820F0000}"/>
    <cellStyle name="AÞ¸¶_AN°y(1.25) " xfId="5030" xr:uid="{00000000-0005-0000-0000-0000830F0000}"/>
    <cellStyle name="ÄÞ¸¶_INQUIRY ¿µ¾÷ÃßÁø " xfId="2436" xr:uid="{00000000-0005-0000-0000-0000840F0000}"/>
    <cellStyle name="AÞ¸¶_INQUIRY ¿μ¾÷AßAø " xfId="2437" xr:uid="{00000000-0005-0000-0000-0000850F0000}"/>
    <cellStyle name="ÄÞ¸¶_laroux" xfId="2438" xr:uid="{00000000-0005-0000-0000-0000860F0000}"/>
    <cellStyle name="AÞ¸¶_laroux_1" xfId="2439" xr:uid="{00000000-0005-0000-0000-0000870F0000}"/>
    <cellStyle name="ÄÞ¸¶_laroux_1" xfId="2440" xr:uid="{00000000-0005-0000-0000-0000880F0000}"/>
    <cellStyle name="AÞ¸¶_laroux_1_국학진흥원(정산6-13)" xfId="2441" xr:uid="{00000000-0005-0000-0000-0000890F0000}"/>
    <cellStyle name="ÄÞ¸¶_laroux_1_국학진흥원(정산6-13)" xfId="2442" xr:uid="{00000000-0005-0000-0000-00008A0F0000}"/>
    <cellStyle name="AÞ¸¶_laroux_1_대구종합전시관" xfId="2443" xr:uid="{00000000-0005-0000-0000-00008B0F0000}"/>
    <cellStyle name="ÄÞ¸¶_laroux_1_대구종합전시관" xfId="2444" xr:uid="{00000000-0005-0000-0000-00008C0F0000}"/>
    <cellStyle name="AÞ¸¶_laroux_2" xfId="2445" xr:uid="{00000000-0005-0000-0000-00008D0F0000}"/>
    <cellStyle name="ÄÞ¸¶_laroux_2" xfId="2446" xr:uid="{00000000-0005-0000-0000-00008E0F0000}"/>
    <cellStyle name="AÞ¸¶_laroux_국학진흥원(정산6-13)" xfId="2447" xr:uid="{00000000-0005-0000-0000-00008F0F0000}"/>
    <cellStyle name="ÄÞ¸¶_laroux_국학진흥원(정산6-13)" xfId="2448" xr:uid="{00000000-0005-0000-0000-0000900F0000}"/>
    <cellStyle name="AÞ¸¶_laroux_대구종합전시관" xfId="2449" xr:uid="{00000000-0005-0000-0000-0000910F0000}"/>
    <cellStyle name="ÄÞ¸¶_laroux_대구종합전시관" xfId="2450" xr:uid="{00000000-0005-0000-0000-0000920F0000}"/>
    <cellStyle name="AÞ¸¶_º≫¼± ±æ¾i±uºI ¼o·R Ay°eC￥ " xfId="2451" xr:uid="{00000000-0005-0000-0000-0000930F0000}"/>
    <cellStyle name="ÄÞ¸¶_ºÙÀÓ2-1 " xfId="2452" xr:uid="{00000000-0005-0000-0000-0000940F0000}"/>
    <cellStyle name="Au¸R¼o" xfId="2453" xr:uid="{00000000-0005-0000-0000-0000950F0000}"/>
    <cellStyle name="Au¸R¼o0" xfId="2454" xr:uid="{00000000-0005-0000-0000-0000960F0000}"/>
    <cellStyle name="_x0001_b" xfId="2455" xr:uid="{00000000-0005-0000-0000-0000970F0000}"/>
    <cellStyle name="b?þ?b?þ?b?þ?b?þ?b?þ?b?þ?b?þ?b?þ?b?þ?b?þ?b灌þ?b?þ?&lt;?b?þ?b濬þ?b?þ?b?þ昰_x0018_?þ????_x0008_" xfId="5031" xr:uid="{00000000-0005-0000-0000-0000980F0000}"/>
    <cellStyle name="b?þ?b?þ?b?þ?b灌þ?b?þ?&lt;?b?þ?b濬þ?b?þ?b?þ昰_x0018_?þ????_x0008_" xfId="5032" xr:uid="{00000000-0005-0000-0000-0000990F0000}"/>
    <cellStyle name="b␌þකb濰þඪb瀠þයb灌þ්b炈þ宐&lt;෢b濈þෲb濬þขb瀐þฒb瀰þ昰_x0018_⋸þ㤕䰀ጤܕ_x0008_" xfId="5033" xr:uid="{00000000-0005-0000-0000-00009A0F0000}"/>
    <cellStyle name="BA" xfId="5035" xr:uid="{00000000-0005-0000-0000-00009B0F0000}"/>
    <cellStyle name="body" xfId="5036" xr:uid="{00000000-0005-0000-0000-00009C0F0000}"/>
    <cellStyle name="Border" xfId="5037" xr:uid="{00000000-0005-0000-0000-00009D0F0000}"/>
    <cellStyle name="b嬜þപb嬼þഺb孬þൊb⍜þ൚b⍼þ൪b⎨þൺb⏜þඊb␌þකb濰þඪb瀠þයb灌þ්b炈þ宐&lt;෢b濈þෲb濬þขb瀐þฒb瀰þ昰_x0018_⋸þ㤕䰀ጤܕ_x0008_" xfId="5034" xr:uid="{00000000-0005-0000-0000-00009E0F0000}"/>
    <cellStyle name="C" xfId="2456" xr:uid="{00000000-0005-0000-0000-00009F0F0000}"/>
    <cellStyle name="C 2" xfId="5195" xr:uid="{00000000-0005-0000-0000-0000A00F0000}"/>
    <cellStyle name="C¡ERIA￠R¡×¡§¡I_¡ERic￠R¡×u¡ERA￠R¡×￠Rⓒ­I￠R¡×￠Rⓒ­¡ER¡§￠R AN¡ER¡§￠Re " xfId="5038" xr:uid="{00000000-0005-0000-0000-0000A10F0000}"/>
    <cellStyle name="C¡ÍA¨ª_  FAB AIA¢´  " xfId="2457" xr:uid="{00000000-0005-0000-0000-0000A20F0000}"/>
    <cellStyle name="C¡IA¨ª_ 1-3 " xfId="5039" xr:uid="{00000000-0005-0000-0000-0000A30F0000}"/>
    <cellStyle name="C¡ÍA¨ª_¡Æ©øAI OXIDE " xfId="2458" xr:uid="{00000000-0005-0000-0000-0000A40F0000}"/>
    <cellStyle name="C¡IA¨ª_¡Æu￠￢RBS('98) " xfId="2459" xr:uid="{00000000-0005-0000-0000-0000A50F0000}"/>
    <cellStyle name="C¡ÍA¨ª_¡íoE©÷¡¾a¡¤IAo " xfId="2460" xr:uid="{00000000-0005-0000-0000-0000A60F0000}"/>
    <cellStyle name="C¡IA¨ª_¡ioEⓒ÷¡¾a¡¤IAo " xfId="2461" xr:uid="{00000000-0005-0000-0000-0000A70F0000}"/>
    <cellStyle name="C¡ÍA¨ª_03 " xfId="2462" xr:uid="{00000000-0005-0000-0000-0000A80F0000}"/>
    <cellStyle name="C¡IA¨ª_12￠?u " xfId="2463" xr:uid="{00000000-0005-0000-0000-0000A90F0000}"/>
    <cellStyle name="C¡ÍA¨ª_12AO " xfId="2464" xr:uid="{00000000-0005-0000-0000-0000AA0F0000}"/>
    <cellStyle name="C¡IA¨ª_Ac¡Æi¡Æu￠￢R " xfId="2465" xr:uid="{00000000-0005-0000-0000-0000AB0F0000}"/>
    <cellStyle name="C¡ÍA¨ª_C¡ÍAo " xfId="2466" xr:uid="{00000000-0005-0000-0000-0000AC0F0000}"/>
    <cellStyle name="C¡IA¨ª_CD-ROM " xfId="2467" xr:uid="{00000000-0005-0000-0000-0000AD0F0000}"/>
    <cellStyle name="C¡ÍA¨ª_Sheet1_4PART " xfId="2468" xr:uid="{00000000-0005-0000-0000-0000AE0F0000}"/>
    <cellStyle name="C￠RIA¡§¨￡_  FAB AIA¡E￠￥  " xfId="2469" xr:uid="{00000000-0005-0000-0000-0000AF0F0000}"/>
    <cellStyle name="Ç¥" xfId="5040" xr:uid="{00000000-0005-0000-0000-0000B00F0000}"/>
    <cellStyle name="C￥aø" xfId="5041" xr:uid="{00000000-0005-0000-0000-0000B10F0000}"/>
    <cellStyle name="Ç¥ÁØ_´ë°¡ (2)" xfId="5042" xr:uid="{00000000-0005-0000-0000-0000B20F0000}"/>
    <cellStyle name="C￥AØ_´eºnC￥ (2)_ºI´eAa°ø " xfId="5043" xr:uid="{00000000-0005-0000-0000-0000B30F0000}"/>
    <cellStyle name="Ç¥ÁØ_´ëºñÇ¥ (2)_ºÎ´ëÅä°ø " xfId="5044" xr:uid="{00000000-0005-0000-0000-0000B40F0000}"/>
    <cellStyle name="C￥AØ_¸¶≫eCI¼oAIA§ " xfId="5045" xr:uid="{00000000-0005-0000-0000-0000B50F0000}"/>
    <cellStyle name="Ç¥ÁØ_¸ðÇü¸·" xfId="2470" xr:uid="{00000000-0005-0000-0000-0000B60F0000}"/>
    <cellStyle name="C￥AØ_¿­¸° INT" xfId="5046" xr:uid="{00000000-0005-0000-0000-0000B70F0000}"/>
    <cellStyle name="Ç¥ÁØ_¿µ¾÷ÇöÈ² " xfId="5047" xr:uid="{00000000-0005-0000-0000-0000B80F0000}"/>
    <cellStyle name="C￥AØ_¿ø°¡ºÐ¼R" xfId="2471" xr:uid="{00000000-0005-0000-0000-0000B90F0000}"/>
    <cellStyle name="Ç¥ÁØ_±â¼ú°ËÅä" xfId="5048" xr:uid="{00000000-0005-0000-0000-0000BA0F0000}"/>
    <cellStyle name="C￥AØ_≫c¾÷ºIº° AN°e " xfId="2472" xr:uid="{00000000-0005-0000-0000-0000BB0F0000}"/>
    <cellStyle name="Ç¥ÁØ_°¡¼³" xfId="5049" xr:uid="{00000000-0005-0000-0000-0000BC0F0000}"/>
    <cellStyle name="C￥AØ_°­´c (2)_광명견적대비1010" xfId="5050" xr:uid="{00000000-0005-0000-0000-0000BD0F0000}"/>
    <cellStyle name="Ç¥ÁØ_°­´ç (2)_광명견적대비1010" xfId="5051" xr:uid="{00000000-0005-0000-0000-0000BE0F0000}"/>
    <cellStyle name="C￥AØ_°­´c (2)_광명견적대비1010_부산대학교-연구동(샘플)" xfId="5052" xr:uid="{00000000-0005-0000-0000-0000BF0F0000}"/>
    <cellStyle name="Ç¥ÁØ_°­´ç (2)_광명견적대비1010_부산대학교-연구동(샘플)" xfId="5053" xr:uid="{00000000-0005-0000-0000-0000C00F0000}"/>
    <cellStyle name="C￥AØ_°­´c (2)_광명관급" xfId="5054" xr:uid="{00000000-0005-0000-0000-0000C10F0000}"/>
    <cellStyle name="Ç¥ÁØ_°­´ç (2)_광명관급" xfId="5055" xr:uid="{00000000-0005-0000-0000-0000C20F0000}"/>
    <cellStyle name="C￥AØ_°­´c (2)_금광" xfId="5056" xr:uid="{00000000-0005-0000-0000-0000C30F0000}"/>
    <cellStyle name="Ç¥ÁØ_°­´ç (2)_금광" xfId="5057" xr:uid="{00000000-0005-0000-0000-0000C40F0000}"/>
    <cellStyle name="C￥AØ_°­´c (2)_금광_부산대학교-연구동(샘플)" xfId="5058" xr:uid="{00000000-0005-0000-0000-0000C50F0000}"/>
    <cellStyle name="Ç¥ÁØ_°­´ç (2)_금광_부산대학교-연구동(샘플)" xfId="5059" xr:uid="{00000000-0005-0000-0000-0000C60F0000}"/>
    <cellStyle name="C￥AØ_°­´c (2)_삼사" xfId="5060" xr:uid="{00000000-0005-0000-0000-0000C70F0000}"/>
    <cellStyle name="Ç¥ÁØ_°­´ç (2)_삼사" xfId="5061" xr:uid="{00000000-0005-0000-0000-0000C80F0000}"/>
    <cellStyle name="C￥AØ_°­´c (2)_삼사_부산대학교-연구동(샘플)" xfId="5062" xr:uid="{00000000-0005-0000-0000-0000C90F0000}"/>
    <cellStyle name="Ç¥ÁØ_°­´ç (2)_삼사_부산대학교-연구동(샘플)" xfId="5063" xr:uid="{00000000-0005-0000-0000-0000CA0F0000}"/>
    <cellStyle name="C￥AØ_°³AI OXIDE " xfId="2473" xr:uid="{00000000-0005-0000-0000-0000CB0F0000}"/>
    <cellStyle name="Ç¥ÁØ_°ü¸®BS('98) " xfId="2474" xr:uid="{00000000-0005-0000-0000-0000CC0F0000}"/>
    <cellStyle name="C￥AØ_03 " xfId="2475" xr:uid="{00000000-0005-0000-0000-0000CD0F0000}"/>
    <cellStyle name="Ç¥ÁØ_0N-HANDLING " xfId="2476" xr:uid="{00000000-0005-0000-0000-0000CE0F0000}"/>
    <cellStyle name="C￥AØ_¼oAI¼º " xfId="2477" xr:uid="{00000000-0005-0000-0000-0000CF0F0000}"/>
    <cellStyle name="Ç¥ÁØ_¹æÀ½º® " xfId="2478" xr:uid="{00000000-0005-0000-0000-0000D00F0000}"/>
    <cellStyle name="C￥AØ_53AO " xfId="2479" xr:uid="{00000000-0005-0000-0000-0000D10F0000}"/>
    <cellStyle name="Ç¥ÁØ_7°èÈ¹ " xfId="5064" xr:uid="{00000000-0005-0000-0000-0000D20F0000}"/>
    <cellStyle name="C￥AØ_95,96 ºn±³ " xfId="5065" xr:uid="{00000000-0005-0000-0000-0000D30F0000}"/>
    <cellStyle name="Ç¥ÁØ_95,96 ºñ±³ " xfId="5066" xr:uid="{00000000-0005-0000-0000-0000D40F0000}"/>
    <cellStyle name="C￥AØ_A¾CO½A¼³ " xfId="5067" xr:uid="{00000000-0005-0000-0000-0000D50F0000}"/>
    <cellStyle name="Ç¥ÁØ_Á¾ÇÕ½Å¼³ " xfId="5068" xr:uid="{00000000-0005-0000-0000-0000D60F0000}"/>
    <cellStyle name="C￥AØ_A¾COA¶°AºÐ " xfId="5069" xr:uid="{00000000-0005-0000-0000-0000D70F0000}"/>
    <cellStyle name="Ç¥ÁØ_Á¾ÇÕÃ¶°ÅºÐ " xfId="5070" xr:uid="{00000000-0005-0000-0000-0000D80F0000}"/>
    <cellStyle name="C￥AØ_AN°y(1.25) " xfId="2480" xr:uid="{00000000-0005-0000-0000-0000D90F0000}"/>
    <cellStyle name="Ç¥ÁØ_Àü·Â¼ÕÀÍºÐ¼®" xfId="2481" xr:uid="{00000000-0005-0000-0000-0000DA0F0000}"/>
    <cellStyle name="C￥AØ_Au·A¼OAIºÐ¼R" xfId="2482" xr:uid="{00000000-0005-0000-0000-0000DB0F0000}"/>
    <cellStyle name="Ç¥ÁØ_Áý°èÇ¥(2¿ù) " xfId="2483" xr:uid="{00000000-0005-0000-0000-0000DC0F0000}"/>
    <cellStyle name="C￥AØ_C￥Ao " xfId="2484" xr:uid="{00000000-0005-0000-0000-0000DD0F0000}"/>
    <cellStyle name="Ç¥ÁØ_CD-ROM " xfId="2485" xr:uid="{00000000-0005-0000-0000-0000DE0F0000}"/>
    <cellStyle name="C￥AØ_laroux" xfId="2486" xr:uid="{00000000-0005-0000-0000-0000DF0F0000}"/>
    <cellStyle name="Ç¥ÁØ_laroux" xfId="2487" xr:uid="{00000000-0005-0000-0000-0000E00F0000}"/>
    <cellStyle name="C￥AØ_laroux_04 대구매천지구(1회)" xfId="2488" xr:uid="{00000000-0005-0000-0000-0000E10F0000}"/>
    <cellStyle name="Ç¥ÁØ_laroux_1" xfId="2489" xr:uid="{00000000-0005-0000-0000-0000E20F0000}"/>
    <cellStyle name="C￥AØ_laroux_골드파크24회기성(5월분)" xfId="2490" xr:uid="{00000000-0005-0000-0000-0000E30F0000}"/>
    <cellStyle name="Calc Currency (0)" xfId="2491" xr:uid="{00000000-0005-0000-0000-0000E40F0000}"/>
    <cellStyle name="Calc Currency (2)" xfId="2492" xr:uid="{00000000-0005-0000-0000-0000E50F0000}"/>
    <cellStyle name="Calc Percent (0)" xfId="2493" xr:uid="{00000000-0005-0000-0000-0000E60F0000}"/>
    <cellStyle name="Calc Percent (1)" xfId="2494" xr:uid="{00000000-0005-0000-0000-0000E70F0000}"/>
    <cellStyle name="Calc Percent (2)" xfId="2495" xr:uid="{00000000-0005-0000-0000-0000E80F0000}"/>
    <cellStyle name="Calc Units (0)" xfId="2496" xr:uid="{00000000-0005-0000-0000-0000E90F0000}"/>
    <cellStyle name="Calc Units (1)" xfId="2497" xr:uid="{00000000-0005-0000-0000-0000EA0F0000}"/>
    <cellStyle name="Calc Units (2)" xfId="2498" xr:uid="{00000000-0005-0000-0000-0000EB0F0000}"/>
    <cellStyle name="category" xfId="2499" xr:uid="{00000000-0005-0000-0000-0000EC0F0000}"/>
    <cellStyle name="CIAIÆU¸μAⓒ" xfId="2500" xr:uid="{00000000-0005-0000-0000-0000ED0F0000}"/>
    <cellStyle name="Cmma_을지 (2)_갑지 (2)_집계표 (2)_집계표 (3)_견적서 (2)" xfId="2501" xr:uid="{00000000-0005-0000-0000-0000EE0F0000}"/>
    <cellStyle name="ⓒo" xfId="2502" xr:uid="{00000000-0005-0000-0000-0000EF0F0000}"/>
    <cellStyle name="ⓒo 2" xfId="5196" xr:uid="{00000000-0005-0000-0000-0000F00F0000}"/>
    <cellStyle name="Co≫e" xfId="2503" xr:uid="{00000000-0005-0000-0000-0000F10F0000}"/>
    <cellStyle name="Column_Title" xfId="5071" xr:uid="{00000000-0005-0000-0000-0000F20F0000}"/>
    <cellStyle name="Com? [0]_ SG&amp;A Bridge " xfId="5072" xr:uid="{00000000-0005-0000-0000-0000F30F0000}"/>
    <cellStyle name="Comma" xfId="2505" xr:uid="{00000000-0005-0000-0000-0000F40F0000}"/>
    <cellStyle name="Comma [?_ SG&amp;A Bridge " xfId="5073" xr:uid="{00000000-0005-0000-0000-0000F50F0000}"/>
    <cellStyle name="Comma [0]" xfId="2506" xr:uid="{00000000-0005-0000-0000-0000F60F0000}"/>
    <cellStyle name="Comma [00]" xfId="2507" xr:uid="{00000000-0005-0000-0000-0000F70F0000}"/>
    <cellStyle name="comma zerodec" xfId="2508" xr:uid="{00000000-0005-0000-0000-0000F80F0000}"/>
    <cellStyle name="Comma_ SG&amp;A Bridge" xfId="5074" xr:uid="{00000000-0005-0000-0000-0000F90F0000}"/>
    <cellStyle name="Comma0" xfId="2509" xr:uid="{00000000-0005-0000-0000-0000FA0F0000}"/>
    <cellStyle name="Comm뼬_E&amp;ONW2" xfId="2504" xr:uid="{00000000-0005-0000-0000-0000FB0F0000}"/>
    <cellStyle name="Copied" xfId="2510" xr:uid="{00000000-0005-0000-0000-0000FC0F0000}"/>
    <cellStyle name="COST1" xfId="5075" xr:uid="{00000000-0005-0000-0000-0000FD0F0000}"/>
    <cellStyle name="Curre~cy [0]_MATERAL2" xfId="5076" xr:uid="{00000000-0005-0000-0000-0000FE0F0000}"/>
    <cellStyle name="Curren?_x0012_퐀_x0017_?" xfId="2511" xr:uid="{00000000-0005-0000-0000-0000FF0F0000}"/>
    <cellStyle name="Currency" xfId="2512" xr:uid="{00000000-0005-0000-0000-000000100000}"/>
    <cellStyle name="Currency [0]" xfId="2513" xr:uid="{00000000-0005-0000-0000-000001100000}"/>
    <cellStyle name="Currency [00]" xfId="2514" xr:uid="{00000000-0005-0000-0000-000002100000}"/>
    <cellStyle name="currency-$" xfId="5077" xr:uid="{00000000-0005-0000-0000-000003100000}"/>
    <cellStyle name="Currency_ SG&amp;A Bridge " xfId="2515" xr:uid="{00000000-0005-0000-0000-000004100000}"/>
    <cellStyle name="Currency0" xfId="2516" xr:uid="{00000000-0005-0000-0000-000005100000}"/>
    <cellStyle name="Currency1" xfId="2517" xr:uid="{00000000-0005-0000-0000-000006100000}"/>
    <cellStyle name="Currency1 2" xfId="5078" xr:uid="{00000000-0005-0000-0000-000007100000}"/>
    <cellStyle name="Currency1 3" xfId="5079" xr:uid="{00000000-0005-0000-0000-000008100000}"/>
    <cellStyle name="Currency1 4" xfId="5080" xr:uid="{00000000-0005-0000-0000-000009100000}"/>
    <cellStyle name="Currency1_공량산출서-구조물" xfId="5081" xr:uid="{00000000-0005-0000-0000-00000A100000}"/>
    <cellStyle name="Date" xfId="2518" xr:uid="{00000000-0005-0000-0000-00000B100000}"/>
    <cellStyle name="Date Short" xfId="2519" xr:uid="{00000000-0005-0000-0000-00000C100000}"/>
    <cellStyle name="Date_04 대구매천지구(1회)" xfId="2520" xr:uid="{00000000-0005-0000-0000-00000D100000}"/>
    <cellStyle name="DD" xfId="2521" xr:uid="{00000000-0005-0000-0000-00000E100000}"/>
    <cellStyle name="DELTA" xfId="2522" xr:uid="{00000000-0005-0000-0000-00000F100000}"/>
    <cellStyle name="Dezimal [0]_Ausdruck RUND (D)" xfId="2523" xr:uid="{00000000-0005-0000-0000-000010100000}"/>
    <cellStyle name="Dezimal_Ausdruck RUND (D)" xfId="2524" xr:uid="{00000000-0005-0000-0000-000011100000}"/>
    <cellStyle name="Dollar (zero dec)" xfId="2525" xr:uid="{00000000-0005-0000-0000-000012100000}"/>
    <cellStyle name="E­æo±ae￡" xfId="2526" xr:uid="{00000000-0005-0000-0000-000013100000}"/>
    <cellStyle name="E­æo±ae￡0" xfId="2527" xr:uid="{00000000-0005-0000-0000-000014100000}"/>
    <cellStyle name="Enter Currency (0)" xfId="2528" xr:uid="{00000000-0005-0000-0000-000015100000}"/>
    <cellStyle name="Enter Currency (2)" xfId="2529" xr:uid="{00000000-0005-0000-0000-000016100000}"/>
    <cellStyle name="Enter Units (0)" xfId="2530" xr:uid="{00000000-0005-0000-0000-000017100000}"/>
    <cellStyle name="Enter Units (1)" xfId="2531" xr:uid="{00000000-0005-0000-0000-000018100000}"/>
    <cellStyle name="Enter Units (2)" xfId="2532" xr:uid="{00000000-0005-0000-0000-000019100000}"/>
    <cellStyle name="Entered" xfId="2533" xr:uid="{00000000-0005-0000-0000-00001A100000}"/>
    <cellStyle name="Euro" xfId="2534" xr:uid="{00000000-0005-0000-0000-00001B100000}"/>
    <cellStyle name="F2" xfId="2535" xr:uid="{00000000-0005-0000-0000-00001C100000}"/>
    <cellStyle name="F3" xfId="2536" xr:uid="{00000000-0005-0000-0000-00001D100000}"/>
    <cellStyle name="F4" xfId="2537" xr:uid="{00000000-0005-0000-0000-00001E100000}"/>
    <cellStyle name="F5" xfId="2538" xr:uid="{00000000-0005-0000-0000-00001F100000}"/>
    <cellStyle name="F6" xfId="2539" xr:uid="{00000000-0005-0000-0000-000020100000}"/>
    <cellStyle name="F7" xfId="2540" xr:uid="{00000000-0005-0000-0000-000021100000}"/>
    <cellStyle name="F8" xfId="2541" xr:uid="{00000000-0005-0000-0000-000022100000}"/>
    <cellStyle name="Fixed" xfId="2542" xr:uid="{00000000-0005-0000-0000-000023100000}"/>
    <cellStyle name="Followed Hyperlink" xfId="5082" xr:uid="{00000000-0005-0000-0000-000024100000}"/>
    <cellStyle name="G/표준" xfId="5083" xr:uid="{00000000-0005-0000-0000-000025100000}"/>
    <cellStyle name="ǦǦ_x0003_" xfId="2543" xr:uid="{00000000-0005-0000-0000-000026100000}"/>
    <cellStyle name="Grey" xfId="2544" xr:uid="{00000000-0005-0000-0000-000027100000}"/>
    <cellStyle name="Grey 2" xfId="5084" xr:uid="{00000000-0005-0000-0000-000028100000}"/>
    <cellStyle name="Grey 3" xfId="5085" xr:uid="{00000000-0005-0000-0000-000029100000}"/>
    <cellStyle name="Grey 4" xfId="5086" xr:uid="{00000000-0005-0000-0000-00002A100000}"/>
    <cellStyle name="Grey_내역서" xfId="5087" xr:uid="{00000000-0005-0000-0000-00002B100000}"/>
    <cellStyle name="H1" xfId="2545" xr:uid="{00000000-0005-0000-0000-00002C100000}"/>
    <cellStyle name="H2" xfId="2546" xr:uid="{00000000-0005-0000-0000-00002D100000}"/>
    <cellStyle name="head" xfId="5088" xr:uid="{00000000-0005-0000-0000-00002E100000}"/>
    <cellStyle name="head 1" xfId="5089" xr:uid="{00000000-0005-0000-0000-00002F100000}"/>
    <cellStyle name="head 1-1" xfId="5090" xr:uid="{00000000-0005-0000-0000-000030100000}"/>
    <cellStyle name="HEADER" xfId="2547" xr:uid="{00000000-0005-0000-0000-000031100000}"/>
    <cellStyle name="Header1" xfId="2548" xr:uid="{00000000-0005-0000-0000-000032100000}"/>
    <cellStyle name="Header2" xfId="2549" xr:uid="{00000000-0005-0000-0000-000033100000}"/>
    <cellStyle name="Heading 1" xfId="2550" xr:uid="{00000000-0005-0000-0000-000034100000}"/>
    <cellStyle name="Heading 2" xfId="2551" xr:uid="{00000000-0005-0000-0000-000035100000}"/>
    <cellStyle name="Heading1" xfId="2552" xr:uid="{00000000-0005-0000-0000-000036100000}"/>
    <cellStyle name="Heading2" xfId="2553" xr:uid="{00000000-0005-0000-0000-000037100000}"/>
    <cellStyle name="Helv8_PFD4.XLS" xfId="2554" xr:uid="{00000000-0005-0000-0000-000038100000}"/>
    <cellStyle name="HIGHLIGHT" xfId="2555" xr:uid="{00000000-0005-0000-0000-000039100000}"/>
    <cellStyle name="Hyperlink" xfId="5091" xr:uid="{00000000-0005-0000-0000-00003A100000}"/>
    <cellStyle name="INPUT" xfId="5092" xr:uid="{00000000-0005-0000-0000-00003B100000}"/>
    <cellStyle name="Input [yellow]" xfId="2556" xr:uid="{00000000-0005-0000-0000-00003C100000}"/>
    <cellStyle name="Input [yellow] 2" xfId="5093" xr:uid="{00000000-0005-0000-0000-00003D100000}"/>
    <cellStyle name="Input [yellow] 3" xfId="5094" xr:uid="{00000000-0005-0000-0000-00003E100000}"/>
    <cellStyle name="Input [yellow] 4" xfId="5095" xr:uid="{00000000-0005-0000-0000-00003F100000}"/>
    <cellStyle name="Input [yellow]_내역서" xfId="5096" xr:uid="{00000000-0005-0000-0000-000040100000}"/>
    <cellStyle name="Input Cells" xfId="5097" xr:uid="{00000000-0005-0000-0000-000041100000}"/>
    <cellStyle name="_x0001__x0002_ĵĵ_x0007_ ĵĵ_x000d__x000d_ƨƬ_x0001__x0002_ƨƬ_x0007__x000d_ǒǓ _x000d_ǜǜ_x000d__x000d_ǪǪ_x0007__x0007__x0005__x0005__x0010__x0001_ဠ" xfId="2557" xr:uid="{00000000-0005-0000-0000-000042100000}"/>
    <cellStyle name="_x0001__x0002_ĵĵ_x0007__x0009_ĵĵ_x000d__x000d_ƨƬ_x0001__x0002_ƨƬ_x0007__x000d_ǒǓ_x0009__x000d_ǜǜ_x000d__x000d_ǪǪ_x0007__x0007__x0005__x0005__x0010__x0001_ဠ" xfId="5230" xr:uid="{00000000-0005-0000-0000-000043100000}"/>
    <cellStyle name="Komma [0]_BINV" xfId="5098" xr:uid="{00000000-0005-0000-0000-000044100000}"/>
    <cellStyle name="Komma_BINV" xfId="5099" xr:uid="{00000000-0005-0000-0000-000045100000}"/>
    <cellStyle name="L`" xfId="5100" xr:uid="{00000000-0005-0000-0000-000046100000}"/>
    <cellStyle name="Link Currency (0)" xfId="2558" xr:uid="{00000000-0005-0000-0000-000047100000}"/>
    <cellStyle name="Link Currency (2)" xfId="2559" xr:uid="{00000000-0005-0000-0000-000048100000}"/>
    <cellStyle name="Link Units (0)" xfId="2560" xr:uid="{00000000-0005-0000-0000-000049100000}"/>
    <cellStyle name="Link Units (1)" xfId="2561" xr:uid="{00000000-0005-0000-0000-00004A100000}"/>
    <cellStyle name="Link Units (2)" xfId="2562" xr:uid="{00000000-0005-0000-0000-00004B100000}"/>
    <cellStyle name="Linked Cells" xfId="5101" xr:uid="{00000000-0005-0000-0000-00004C100000}"/>
    <cellStyle name="ŀ䅀؀ŀŀ䅀؀ŀŀ䅀؀ŀŀ䅀؀ŀŀ䅀؀ŀŀ䅀؀ŀŀ䅀؀ŀŀ䅀؀ŀŀ䅀؀ŀ฀䅀؀฀฀䅀؀฀฀䅀؀฀฀䅀؀฀฀䅀؀฀฀䅀؀฀฀䅀؀฀฀䅀؀฀฀䅀؀฀฀䅀؀฀฀䁀" xfId="5103" xr:uid="{00000000-0005-0000-0000-00004D100000}"/>
    <cellStyle name="ŀ䅀؀ŀŀ䅀؀ŀŀ䅀؀ŀŀ䅀؀ŀŀ䅀؀ŀ฀䅀؀฀฀䅀؀฀฀䅀؀฀฀䅀؀฀฀䅀؀฀฀䅀؀฀฀䅀؀฀฀䅀؀฀฀䅀؀฀฀䅀؀฀฀䁀" xfId="5104" xr:uid="{00000000-0005-0000-0000-00004E100000}"/>
    <cellStyle name="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" xfId="2563" xr:uid="{00000000-0005-0000-0000-00004F100000}"/>
    <cellStyle name="měny_Copy of zdroj" xfId="5105" xr:uid="{00000000-0005-0000-0000-000050100000}"/>
    <cellStyle name="Midtitle" xfId="2564" xr:uid="{00000000-0005-0000-0000-000051100000}"/>
    <cellStyle name="Milliers [0]_Arabian Spec" xfId="2565" xr:uid="{00000000-0005-0000-0000-000052100000}"/>
    <cellStyle name="Milliers_Arabian Spec" xfId="2566" xr:uid="{00000000-0005-0000-0000-000053100000}"/>
    <cellStyle name="mma_CASH &amp; DSO" xfId="5106" xr:uid="{00000000-0005-0000-0000-000054100000}"/>
    <cellStyle name="Model" xfId="2567" xr:uid="{00000000-0005-0000-0000-000055100000}"/>
    <cellStyle name="Mon?aire [0]_Arabian Spec" xfId="2568" xr:uid="{00000000-0005-0000-0000-000056100000}"/>
    <cellStyle name="Mon?aire_Arabian Spec" xfId="2569" xr:uid="{00000000-0005-0000-0000-000057100000}"/>
    <cellStyle name="Mon?taire [0]_CTC" xfId="5107" xr:uid="{00000000-0005-0000-0000-000058100000}"/>
    <cellStyle name="Mon?taire_CTC" xfId="5108" xr:uid="{00000000-0005-0000-0000-000059100000}"/>
    <cellStyle name="NEW정렬" xfId="5109" xr:uid="{00000000-0005-0000-0000-00005A100000}"/>
    <cellStyle name="no dec" xfId="2570" xr:uid="{00000000-0005-0000-0000-00005B100000}"/>
    <cellStyle name="nohs" xfId="5110" xr:uid="{00000000-0005-0000-0000-00005C100000}"/>
    <cellStyle name="Normal - Style1" xfId="2572" xr:uid="{00000000-0005-0000-0000-00005D100000}"/>
    <cellStyle name="Normal - Style1 2" xfId="5111" xr:uid="{00000000-0005-0000-0000-00005E100000}"/>
    <cellStyle name="Normal - Style1 3" xfId="5112" xr:uid="{00000000-0005-0000-0000-00005F100000}"/>
    <cellStyle name="Normal - Style1 4" xfId="5113" xr:uid="{00000000-0005-0000-0000-000060100000}"/>
    <cellStyle name="Normal - Style1_공량산출서-구조물" xfId="5114" xr:uid="{00000000-0005-0000-0000-000061100000}"/>
    <cellStyle name="Normal - Style2" xfId="2573" xr:uid="{00000000-0005-0000-0000-000062100000}"/>
    <cellStyle name="Normal - Style3" xfId="2574" xr:uid="{00000000-0005-0000-0000-000063100000}"/>
    <cellStyle name="Normal - Style4" xfId="2575" xr:uid="{00000000-0005-0000-0000-000064100000}"/>
    <cellStyle name="Normal - Style5" xfId="2576" xr:uid="{00000000-0005-0000-0000-000065100000}"/>
    <cellStyle name="Normal - Style6" xfId="2577" xr:uid="{00000000-0005-0000-0000-000066100000}"/>
    <cellStyle name="Normal - Style7" xfId="2578" xr:uid="{00000000-0005-0000-0000-000067100000}"/>
    <cellStyle name="Normal - Style8" xfId="2579" xr:uid="{00000000-0005-0000-0000-000068100000}"/>
    <cellStyle name="Normal - 유형1" xfId="2571" xr:uid="{00000000-0005-0000-0000-000069100000}"/>
    <cellStyle name="Normal_ SG&amp;A Bridge" xfId="5115" xr:uid="{00000000-0005-0000-0000-00006A100000}"/>
    <cellStyle name="normální_Copy of zdroj" xfId="5116" xr:uid="{00000000-0005-0000-0000-00006B100000}"/>
    <cellStyle name="Œ…?æ맖?e [0.00]_guyan" xfId="5117" xr:uid="{00000000-0005-0000-0000-00006C100000}"/>
    <cellStyle name="Œ…?æ맖?e_guyan" xfId="5118" xr:uid="{00000000-0005-0000-0000-00006D100000}"/>
    <cellStyle name="oft Excel]_x000d__x000a_Comment=The open=/f lines load custom functions into the Paste Function list._x000d__x000a_Maximized=3_x000d__x000a_AutoFormat=" xfId="2580" xr:uid="{00000000-0005-0000-0000-00006E100000}"/>
    <cellStyle name="OUTPUT" xfId="5119" xr:uid="{00000000-0005-0000-0000-00006F100000}"/>
    <cellStyle name="per.style" xfId="5120" xr:uid="{00000000-0005-0000-0000-000070100000}"/>
    <cellStyle name="Percent" xfId="2581" xr:uid="{00000000-0005-0000-0000-000071100000}"/>
    <cellStyle name="Percent [0]" xfId="2582" xr:uid="{00000000-0005-0000-0000-000072100000}"/>
    <cellStyle name="Percent [00]" xfId="2583" xr:uid="{00000000-0005-0000-0000-000073100000}"/>
    <cellStyle name="Percent [2]" xfId="2584" xr:uid="{00000000-0005-0000-0000-000074100000}"/>
    <cellStyle name="Percent_!간지" xfId="5121" xr:uid="{00000000-0005-0000-0000-000075100000}"/>
    <cellStyle name="PrePop Currency (0)" xfId="2585" xr:uid="{00000000-0005-0000-0000-000076100000}"/>
    <cellStyle name="PrePop Currency (2)" xfId="2586" xr:uid="{00000000-0005-0000-0000-000077100000}"/>
    <cellStyle name="PrePop Units (0)" xfId="2587" xr:uid="{00000000-0005-0000-0000-000078100000}"/>
    <cellStyle name="PrePop Units (1)" xfId="2588" xr:uid="{00000000-0005-0000-0000-000079100000}"/>
    <cellStyle name="PrePop Units (2)" xfId="2589" xr:uid="{00000000-0005-0000-0000-00007A100000}"/>
    <cellStyle name="PRICE2" xfId="2590" xr:uid="{00000000-0005-0000-0000-00007B100000}"/>
    <cellStyle name="pricing" xfId="5122" xr:uid="{00000000-0005-0000-0000-00007C100000}"/>
    <cellStyle name="Procent_BINV" xfId="5123" xr:uid="{00000000-0005-0000-0000-00007D100000}"/>
    <cellStyle name="PSChar" xfId="5124" xr:uid="{00000000-0005-0000-0000-00007E100000}"/>
    <cellStyle name="RevList" xfId="2591" xr:uid="{00000000-0005-0000-0000-00007F100000}"/>
    <cellStyle name="setup" xfId="5125" xr:uid="{00000000-0005-0000-0000-000080100000}"/>
    <cellStyle name="_x0001__x0002_ƨƬ_x0007__x000d_ǒǓ _x000d_ǜǜ_x000d__x000d_ǪǪ_x0007__x0007__x0005__x0005__x0010__x0001_ဠ" xfId="2592" xr:uid="{00000000-0005-0000-0000-000081100000}"/>
    <cellStyle name="_x0001__x0002_ƨƬ_x0007__x000d_ǒǓ_x0009__x000d_ǜǜ_x000d__x000d_ǪǪ_x0007__x0007__x0005__x0005__x0010__x0001_ဠ" xfId="5232" xr:uid="{00000000-0005-0000-0000-000082100000}"/>
    <cellStyle name="Standaard_BINV" xfId="5126" xr:uid="{00000000-0005-0000-0000-000083100000}"/>
    <cellStyle name="STANDARD" xfId="2593" xr:uid="{00000000-0005-0000-0000-000084100000}"/>
    <cellStyle name="STD" xfId="2594" xr:uid="{00000000-0005-0000-0000-000085100000}"/>
    <cellStyle name="Sub" xfId="2595" xr:uid="{00000000-0005-0000-0000-000086100000}"/>
    <cellStyle name="subhead" xfId="2596" xr:uid="{00000000-0005-0000-0000-000087100000}"/>
    <cellStyle name="Subtotal" xfId="2597" xr:uid="{00000000-0005-0000-0000-000088100000}"/>
    <cellStyle name="testtitle" xfId="2598" xr:uid="{00000000-0005-0000-0000-000089100000}"/>
    <cellStyle name="Text Indent A" xfId="2599" xr:uid="{00000000-0005-0000-0000-00008A100000}"/>
    <cellStyle name="Text Indent B" xfId="2600" xr:uid="{00000000-0005-0000-0000-00008B100000}"/>
    <cellStyle name="Text Indent C" xfId="2601" xr:uid="{00000000-0005-0000-0000-00008C100000}"/>
    <cellStyle name="þ?b?þ?b?þ?b?þ?b?þ?b?þ?b?þ?b灌þ?b?þ?&lt;?b?þ?b濬þ?b?þ?b?þ昰_x0018_?þ????_x0008_" xfId="5127" xr:uid="{00000000-0005-0000-0000-00008D100000}"/>
    <cellStyle name="þ൚b⍼þ൪b⎨þൺb⏜þඊb␌þකb濰þඪb瀠þයb灌þ්b炈þ宐&lt;෢b濈þෲb濬þขb瀐þฒb瀰þ昰_x0018_⋸þ㤕䰀ጤܕ_x0008_" xfId="5128" xr:uid="{00000000-0005-0000-0000-00008E100000}"/>
    <cellStyle name="Title" xfId="2602" xr:uid="{00000000-0005-0000-0000-00008F100000}"/>
    <cellStyle name="title [1]" xfId="2603" xr:uid="{00000000-0005-0000-0000-000090100000}"/>
    <cellStyle name="title [2]" xfId="2604" xr:uid="{00000000-0005-0000-0000-000091100000}"/>
    <cellStyle name="Title_경산네거리" xfId="2605" xr:uid="{00000000-0005-0000-0000-000092100000}"/>
    <cellStyle name="Title2" xfId="2606" xr:uid="{00000000-0005-0000-0000-000093100000}"/>
    <cellStyle name="ton(1)" xfId="2607" xr:uid="{00000000-0005-0000-0000-000094100000}"/>
    <cellStyle name="Total" xfId="2608" xr:uid="{00000000-0005-0000-0000-000095100000}"/>
    <cellStyle name="UM" xfId="2609" xr:uid="{00000000-0005-0000-0000-000096100000}"/>
    <cellStyle name="Unprot" xfId="2610" xr:uid="{00000000-0005-0000-0000-000097100000}"/>
    <cellStyle name="Unprot$" xfId="2611" xr:uid="{00000000-0005-0000-0000-000098100000}"/>
    <cellStyle name="Unprotect" xfId="2612" xr:uid="{00000000-0005-0000-0000-000099100000}"/>
    <cellStyle name="Valuta [0]_BINV" xfId="5129" xr:uid="{00000000-0005-0000-0000-00009A100000}"/>
    <cellStyle name="Valuta_BINV" xfId="5130" xr:uid="{00000000-0005-0000-0000-00009B100000}"/>
    <cellStyle name="W?rung [0]_Ausdruck RUND (D)" xfId="2613" xr:uid="{00000000-0005-0000-0000-00009C100000}"/>
    <cellStyle name="W?rung_Ausdruck RUND (D)" xfId="2614" xr:uid="{00000000-0005-0000-0000-00009D100000}"/>
    <cellStyle name="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5" xr:uid="{00000000-0005-0000-0000-00009E100000}"/>
    <cellStyle name="μU¿¡ ¿A´A CIAIÆU¸μAⓒ" xfId="2615" xr:uid="{00000000-0005-0000-0000-00009F100000}"/>
    <cellStyle name="Հ䅀܀฀Հ䅀܀฀Հ䅀܀฀Հ䅀܀฀฀䅀܀฀฀䅀܀฀฀䅀܀฀฀䅀܀฀฀䅀ఀ฀฀䅀܀฀฀䅀܀฀฀䅀܀฀฀䅀܀฀฀䅀܀฀฀䅀܀฀฀䅀܀฀฀䅀܀฀฀䅀܀฀฀䅀܀฀฀䅀܀฀฀䅀܀฀฀á" xfId="2616" xr:uid="{00000000-0005-0000-0000-0000A0100000}"/>
    <cellStyle name="パーセント_技計ｾﾝﾀ" xfId="5131" xr:uid="{00000000-0005-0000-0000-0000A1100000}"/>
    <cellStyle name="ハイパーリンク" xfId="2619" xr:uid="{00000000-0005-0000-0000-0000A2100000}"/>
    <cellStyle name="ଃਁȋ⤂Ā飰ˠ" xfId="2617" xr:uid="{00000000-0005-0000-0000-0000A3100000}"/>
    <cellStyle name="_x0010__x0001_ဠ" xfId="2618" xr:uid="{00000000-0005-0000-0000-0000A4100000}"/>
    <cellStyle name="|?ドE" xfId="4973" xr:uid="{00000000-0005-0000-0000-0000A5100000}"/>
    <cellStyle name="" xfId="5132" xr:uid="{00000000-0005-0000-0000-0000A6100000}"/>
    <cellStyle name="감춤" xfId="2099" xr:uid="{00000000-0005-0000-0000-0000A7100000}"/>
    <cellStyle name="견적" xfId="4257" xr:uid="{00000000-0005-0000-0000-0000A8100000}"/>
    <cellStyle name="계" xfId="4258" xr:uid="{00000000-0005-0000-0000-0000A9100000}"/>
    <cellStyle name="고정소숫점" xfId="2100" xr:uid="{00000000-0005-0000-0000-0000AA100000}"/>
    <cellStyle name="고정소숫점 2" xfId="4259" xr:uid="{00000000-0005-0000-0000-0000AB100000}"/>
    <cellStyle name="고정소숫점 3" xfId="4260" xr:uid="{00000000-0005-0000-0000-0000AC100000}"/>
    <cellStyle name="고정소숫점 4" xfId="4261" xr:uid="{00000000-0005-0000-0000-0000AD100000}"/>
    <cellStyle name="고정소숫점_공량산출서-구조물" xfId="4262" xr:uid="{00000000-0005-0000-0000-0000AE100000}"/>
    <cellStyle name="고정출력1" xfId="2101" xr:uid="{00000000-0005-0000-0000-0000AF100000}"/>
    <cellStyle name="고정출력1 2" xfId="4263" xr:uid="{00000000-0005-0000-0000-0000B0100000}"/>
    <cellStyle name="고정출력1 3" xfId="4264" xr:uid="{00000000-0005-0000-0000-0000B1100000}"/>
    <cellStyle name="고정출력1 4" xfId="4265" xr:uid="{00000000-0005-0000-0000-0000B2100000}"/>
    <cellStyle name="고정출력1_공량산출서-구조물" xfId="4266" xr:uid="{00000000-0005-0000-0000-0000B3100000}"/>
    <cellStyle name="고정출력2" xfId="2102" xr:uid="{00000000-0005-0000-0000-0000B4100000}"/>
    <cellStyle name="고정출력2 2" xfId="4267" xr:uid="{00000000-0005-0000-0000-0000B5100000}"/>
    <cellStyle name="고정출력2 3" xfId="4268" xr:uid="{00000000-0005-0000-0000-0000B6100000}"/>
    <cellStyle name="고정출력2 4" xfId="4269" xr:uid="{00000000-0005-0000-0000-0000B7100000}"/>
    <cellStyle name="고정출력2_공량산출서-구조물" xfId="4270" xr:uid="{00000000-0005-0000-0000-0000B8100000}"/>
    <cellStyle name="공사원가계산서(조경)" xfId="2103" xr:uid="{00000000-0005-0000-0000-0000B9100000}"/>
    <cellStyle name="공정제목" xfId="4271" xr:uid="{00000000-0005-0000-0000-0000BA100000}"/>
    <cellStyle name="咬訌裝?INCOM1" xfId="2104" xr:uid="{00000000-0005-0000-0000-0000BB100000}"/>
    <cellStyle name="咬訌裝?INCOM10" xfId="2105" xr:uid="{00000000-0005-0000-0000-0000BC100000}"/>
    <cellStyle name="咬訌裝?INCOM2" xfId="2106" xr:uid="{00000000-0005-0000-0000-0000BD100000}"/>
    <cellStyle name="咬訌裝?INCOM3" xfId="2107" xr:uid="{00000000-0005-0000-0000-0000BE100000}"/>
    <cellStyle name="咬訌裝?INCOM4" xfId="2108" xr:uid="{00000000-0005-0000-0000-0000BF100000}"/>
    <cellStyle name="咬訌裝?INCOM5" xfId="2109" xr:uid="{00000000-0005-0000-0000-0000C0100000}"/>
    <cellStyle name="咬訌裝?INCOM6" xfId="2110" xr:uid="{00000000-0005-0000-0000-0000C1100000}"/>
    <cellStyle name="咬訌裝?INCOM7" xfId="2111" xr:uid="{00000000-0005-0000-0000-0000C2100000}"/>
    <cellStyle name="咬訌裝?INCOM8" xfId="2112" xr:uid="{00000000-0005-0000-0000-0000C3100000}"/>
    <cellStyle name="咬訌裝?INCOM9" xfId="2113" xr:uid="{00000000-0005-0000-0000-0000C4100000}"/>
    <cellStyle name="咬訌裝?PRIB11" xfId="2114" xr:uid="{00000000-0005-0000-0000-0000C5100000}"/>
    <cellStyle name="咬訌裝?report-2 " xfId="4272" xr:uid="{00000000-0005-0000-0000-0000C6100000}"/>
    <cellStyle name="구        분" xfId="4273" xr:uid="{00000000-0005-0000-0000-0000C7100000}"/>
    <cellStyle name="국종합건설" xfId="2115" xr:uid="{00000000-0005-0000-0000-0000C8100000}"/>
    <cellStyle name="금액" xfId="2116" xr:uid="{00000000-0005-0000-0000-0000C9100000}"/>
    <cellStyle name="금액(\/㎡)" xfId="2118" xr:uid="{00000000-0005-0000-0000-0000CA100000}"/>
    <cellStyle name="금액(\/㎥)" xfId="2117" xr:uid="{00000000-0005-0000-0000-0000CB100000}"/>
    <cellStyle name="금액(\/ton)" xfId="2119" xr:uid="{00000000-0005-0000-0000-0000CC100000}"/>
    <cellStyle name="금액_070122마산창원하수처리장_(전기)" xfId="2120" xr:uid="{00000000-0005-0000-0000-0000CD100000}"/>
    <cellStyle name="기계" xfId="4274" xr:uid="{00000000-0005-0000-0000-0000CE100000}"/>
    <cellStyle name="김해전기" xfId="2121" xr:uid="{00000000-0005-0000-0000-0000CF100000}"/>
    <cellStyle name="김호(E4전환)" xfId="4275" xr:uid="{00000000-0005-0000-0000-0000D0100000}"/>
    <cellStyle name="끼_x0001_?" xfId="4276" xr:uid="{00000000-0005-0000-0000-0000D1100000}"/>
    <cellStyle name="날짜" xfId="2122" xr:uid="{00000000-0005-0000-0000-0000D2100000}"/>
    <cellStyle name="날짜 2" xfId="4277" xr:uid="{00000000-0005-0000-0000-0000D3100000}"/>
    <cellStyle name="날짜 3" xfId="4278" xr:uid="{00000000-0005-0000-0000-0000D4100000}"/>
    <cellStyle name="날짜 4" xfId="4279" xr:uid="{00000000-0005-0000-0000-0000D5100000}"/>
    <cellStyle name="날짜_공량산출서-구조물" xfId="4280" xr:uid="{00000000-0005-0000-0000-0000D6100000}"/>
    <cellStyle name="남기옥" xfId="4281" xr:uid="{00000000-0005-0000-0000-0000D7100000}"/>
    <cellStyle name="내역" xfId="2123" xr:uid="{00000000-0005-0000-0000-0000D8100000}"/>
    <cellStyle name="내역서" xfId="2124" xr:uid="{00000000-0005-0000-0000-0000D9100000}"/>
    <cellStyle name="내역수량(0)" xfId="2125" xr:uid="{00000000-0005-0000-0000-0000DA100000}"/>
    <cellStyle name="내역수량(1)" xfId="2126" xr:uid="{00000000-0005-0000-0000-0000DB100000}"/>
    <cellStyle name="내역수량(2)" xfId="2127" xr:uid="{00000000-0005-0000-0000-0000DC100000}"/>
    <cellStyle name="내역수량(3)" xfId="2128" xr:uid="{00000000-0005-0000-0000-0000DD100000}"/>
    <cellStyle name="단가" xfId="2129" xr:uid="{00000000-0005-0000-0000-0000DE100000}"/>
    <cellStyle name="단위" xfId="2130" xr:uid="{00000000-0005-0000-0000-0000DF100000}"/>
    <cellStyle name="단위(원)" xfId="2131" xr:uid="{00000000-0005-0000-0000-0000E0100000}"/>
    <cellStyle name="단위_산출서-작업부산물공제" xfId="2132" xr:uid="{00000000-0005-0000-0000-0000E1100000}"/>
    <cellStyle name="달러" xfId="2133" xr:uid="{00000000-0005-0000-0000-0000E2100000}"/>
    <cellStyle name="달러 2" xfId="4282" xr:uid="{00000000-0005-0000-0000-0000E3100000}"/>
    <cellStyle name="달러 3" xfId="4283" xr:uid="{00000000-0005-0000-0000-0000E4100000}"/>
    <cellStyle name="달러 4" xfId="4284" xr:uid="{00000000-0005-0000-0000-0000E5100000}"/>
    <cellStyle name="달러_공량산출서-구조물" xfId="4285" xr:uid="{00000000-0005-0000-0000-0000E6100000}"/>
    <cellStyle name="대기" xfId="4286" xr:uid="{00000000-0005-0000-0000-0000E7100000}"/>
    <cellStyle name="돋움채" xfId="4287" xr:uid="{00000000-0005-0000-0000-0000E8100000}"/>
    <cellStyle name="뒤에 오는 하이퍼링크" xfId="2134" xr:uid="{00000000-0005-0000-0000-0000E9100000}"/>
    <cellStyle name="똿떓죶Ø? [0.00]_Region Orders (2)" xfId="4288" xr:uid="{00000000-0005-0000-0000-0000EA100000}"/>
    <cellStyle name="똿떓죶Ø?_Region Orders (2)" xfId="4289" xr:uid="{00000000-0005-0000-0000-0000EB100000}"/>
    <cellStyle name="똿떓죶Ø괻 [0.00]_PRODUCT DETAIL Q1" xfId="4290" xr:uid="{00000000-0005-0000-0000-0000EC100000}"/>
    <cellStyle name="똿떓죶Ø괻_PRODUCT DETAIL Q1" xfId="4291" xr:uid="{00000000-0005-0000-0000-0000ED100000}"/>
    <cellStyle name="똿뗦먛귟 [0.00]_laroux" xfId="2135" xr:uid="{00000000-0005-0000-0000-0000EE100000}"/>
    <cellStyle name="똿뗦먛귟_laroux" xfId="2136" xr:uid="{00000000-0005-0000-0000-0000EF100000}"/>
    <cellStyle name="฀䅀܀฀฀䅀܀฀฀䅀܀฀฀䅀܀฀฀䅀܀฀฀á" xfId="2620" xr:uid="{00000000-0005-0000-0000-0000F0100000}"/>
    <cellStyle name="฀䅀܀฀฀䅀܀฀฀䅀ఀ฀฀䅀܀฀฀䅀܀฀฀䅀܀฀฀䅀܀฀฀䅀܀฀฀䅀܀฀฀䅀܀฀฀䅀܀฀฀䅀܀฀฀䅀܀฀฀䅀܀฀฀䅀܀฀฀á" xfId="2621" xr:uid="{00000000-0005-0000-0000-0000F1100000}"/>
    <cellStyle name="฀䅀؀฀฀䅀؀฀฀䅀؀฀฀䅀؀฀฀䅀؀฀฀䅀؀฀฀䅀؀฀฀䅀؀฀฀䅀؀฀฀䁀" xfId="5136" xr:uid="{00000000-0005-0000-0000-0000F2100000}"/>
    <cellStyle name="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" xfId="2622" xr:uid="{00000000-0005-0000-0000-0000F3100000}"/>
    <cellStyle name="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3" xr:uid="{00000000-0005-0000-0000-0000F4100000}"/>
    <cellStyle name="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" xfId="2624" xr:uid="{00000000-0005-0000-0000-0000F510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" xfId="2626" xr:uid="{00000000-0005-0000-0000-0000F6100000}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" xfId="2627" xr:uid="{00000000-0005-0000-0000-0000F7100000}"/>
    <cellStyle name="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8" xr:uid="{00000000-0005-0000-0000-0000F8100000}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9" xr:uid="{00000000-0005-0000-0000-0000F9100000}"/>
    <cellStyle name="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30" xr:uid="{00000000-0005-0000-0000-0000FA100000}"/>
    <cellStyle name="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" xfId="2631" xr:uid="{00000000-0005-0000-0000-0000FB100000}"/>
    <cellStyle name="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32" xr:uid="{00000000-0005-0000-0000-0000FC100000}"/>
    <cellStyle name="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" xfId="2633" xr:uid="{00000000-0005-0000-0000-0000FD100000}"/>
    <cellStyle name="마ㅊ춤" xfId="4292" xr:uid="{00000000-0005-0000-0000-0000FE100000}"/>
    <cellStyle name="면적" xfId="2137" xr:uid="{00000000-0005-0000-0000-0000FF100000}"/>
    <cellStyle name="면적(0)" xfId="2138" xr:uid="{00000000-0005-0000-0000-000000110000}"/>
    <cellStyle name="면적(1)" xfId="2139" xr:uid="{00000000-0005-0000-0000-000001110000}"/>
    <cellStyle name="면적(2)" xfId="2140" xr:uid="{00000000-0005-0000-0000-000002110000}"/>
    <cellStyle name="면적(a)" xfId="2141" xr:uid="{00000000-0005-0000-0000-000003110000}"/>
    <cellStyle name="면적_동원인원" xfId="2142" xr:uid="{00000000-0005-0000-0000-000004110000}"/>
    <cellStyle name="묮뎋 [0.00]_PRODUCT DETAIL Q1" xfId="4293" xr:uid="{00000000-0005-0000-0000-000005110000}"/>
    <cellStyle name="묮뎋_PRODUCT DETAIL Q1" xfId="4294" xr:uid="{00000000-0005-0000-0000-000006110000}"/>
    <cellStyle name="무게(㎏)" xfId="2143" xr:uid="{00000000-0005-0000-0000-000007110000}"/>
    <cellStyle name="무게1(ton)" xfId="2144" xr:uid="{00000000-0005-0000-0000-000008110000}"/>
    <cellStyle name="무게3(ton)" xfId="2145" xr:uid="{00000000-0005-0000-0000-000009110000}"/>
    <cellStyle name="믅됞 [0.00]_laroux" xfId="2146" xr:uid="{00000000-0005-0000-0000-00000A110000}"/>
    <cellStyle name="믅됞_laroux" xfId="2147" xr:uid="{00000000-0005-0000-0000-00000B110000}"/>
    <cellStyle name="未定義" xfId="4295" xr:uid="{00000000-0005-0000-0000-00000C110000}"/>
    <cellStyle name="미터" xfId="2148" xr:uid="{00000000-0005-0000-0000-00000D110000}"/>
    <cellStyle name="배분" xfId="2149" xr:uid="{00000000-0005-0000-0000-00000E110000}"/>
    <cellStyle name="배분 2" xfId="5175" xr:uid="{00000000-0005-0000-0000-00000F110000}"/>
    <cellStyle name="배분 2 2" xfId="5296" xr:uid="{00000000-0005-0000-0000-000010110000}"/>
    <cellStyle name="배분 3" xfId="5258" xr:uid="{00000000-0005-0000-0000-000011110000}"/>
    <cellStyle name="백" xfId="2150" xr:uid="{00000000-0005-0000-0000-000012110000}"/>
    <cellStyle name="백 2" xfId="5176" xr:uid="{00000000-0005-0000-0000-000013110000}"/>
    <cellStyle name="백분율" xfId="2151" builtinId="5"/>
    <cellStyle name="백분율 [△1]" xfId="4296" xr:uid="{00000000-0005-0000-0000-000015110000}"/>
    <cellStyle name="백분율 [△2]" xfId="4297" xr:uid="{00000000-0005-0000-0000-000016110000}"/>
    <cellStyle name="백분율 [0]" xfId="2152" xr:uid="{00000000-0005-0000-0000-000017110000}"/>
    <cellStyle name="백분율 [2]" xfId="2153" xr:uid="{00000000-0005-0000-0000-000018110000}"/>
    <cellStyle name="백분율 2" xfId="2154" xr:uid="{00000000-0005-0000-0000-000019110000}"/>
    <cellStyle name="백분율［△1］" xfId="2155" xr:uid="{00000000-0005-0000-0000-00001A110000}"/>
    <cellStyle name="백분율［△2］" xfId="2156" xr:uid="{00000000-0005-0000-0000-00001B110000}"/>
    <cellStyle name="벭?_Q1 PRODUCT ACTUAL_4월 (2)" xfId="2157" xr:uid="{00000000-0005-0000-0000-00001C110000}"/>
    <cellStyle name="병합 후 가운데 맞춤" xfId="2158" xr:uid="{00000000-0005-0000-0000-00001D110000}"/>
    <cellStyle name="병합 후 가운데 정열" xfId="2159" xr:uid="{00000000-0005-0000-0000-00001E110000}"/>
    <cellStyle name="본문" xfId="2160" xr:uid="{00000000-0005-0000-0000-00001F110000}"/>
    <cellStyle name="附註" xfId="4298" xr:uid="{00000000-0005-0000-0000-000020110000}"/>
    <cellStyle name="분수" xfId="2161" xr:uid="{00000000-0005-0000-0000-000021110000}"/>
    <cellStyle name="뷭?" xfId="4299" xr:uid="{00000000-0005-0000-0000-000022110000}"/>
    <cellStyle name="뷭?_Q2FCST_PERSONAL" xfId="2162" xr:uid="{00000000-0005-0000-0000-000023110000}"/>
    <cellStyle name="빨강" xfId="2163" xr:uid="{00000000-0005-0000-0000-000024110000}"/>
    <cellStyle name="常规_CHAGEBOO" xfId="4300" xr:uid="{00000000-0005-0000-0000-000025110000}"/>
    <cellStyle name="새귑[0]_롤痰삠悧 " xfId="4301" xr:uid="{00000000-0005-0000-0000-000026110000}"/>
    <cellStyle name="새귑_롤痰삠悧 " xfId="4302" xr:uid="{00000000-0005-0000-0000-000027110000}"/>
    <cellStyle name="선택영역의 가운데로" xfId="2164" xr:uid="{00000000-0005-0000-0000-000028110000}"/>
    <cellStyle name="설계서" xfId="2165" xr:uid="{00000000-0005-0000-0000-000029110000}"/>
    <cellStyle name="설계서-내용" xfId="2166" xr:uid="{00000000-0005-0000-0000-00002A110000}"/>
    <cellStyle name="설계서-내용-소수점" xfId="2167" xr:uid="{00000000-0005-0000-0000-00002B110000}"/>
    <cellStyle name="설계서-내용-우" xfId="2168" xr:uid="{00000000-0005-0000-0000-00002C110000}"/>
    <cellStyle name="설계서-내용-좌" xfId="2169" xr:uid="{00000000-0005-0000-0000-00002D110000}"/>
    <cellStyle name="설계서-소제목" xfId="2170" xr:uid="{00000000-0005-0000-0000-00002E110000}"/>
    <cellStyle name="설계서-타이틀" xfId="2171" xr:uid="{00000000-0005-0000-0000-00002F110000}"/>
    <cellStyle name="설계서-항목" xfId="2172" xr:uid="{00000000-0005-0000-0000-000030110000}"/>
    <cellStyle name="세로줄" xfId="4303" xr:uid="{00000000-0005-0000-0000-000031110000}"/>
    <cellStyle name="소수" xfId="2173" xr:uid="{00000000-0005-0000-0000-000032110000}"/>
    <cellStyle name="소수0" xfId="2174" xr:uid="{00000000-0005-0000-0000-000033110000}"/>
    <cellStyle name="소수1" xfId="2175" xr:uid="{00000000-0005-0000-0000-000034110000}"/>
    <cellStyle name="소수2" xfId="2176" xr:uid="{00000000-0005-0000-0000-000035110000}"/>
    <cellStyle name="소수3" xfId="2177" xr:uid="{00000000-0005-0000-0000-000036110000}"/>
    <cellStyle name="소수4" xfId="2178" xr:uid="{00000000-0005-0000-0000-000037110000}"/>
    <cellStyle name="소수점" xfId="2179" xr:uid="{00000000-0005-0000-0000-000038110000}"/>
    <cellStyle name="수량" xfId="2180" xr:uid="{00000000-0005-0000-0000-000039110000}"/>
    <cellStyle name="수량(Ea)" xfId="2181" xr:uid="{00000000-0005-0000-0000-00003A110000}"/>
    <cellStyle name="수량_내역서(전기,소방)080116(7,8,9층)" xfId="2182" xr:uid="{00000000-0005-0000-0000-00003B110000}"/>
    <cellStyle name="수량산출" xfId="2183" xr:uid="{00000000-0005-0000-0000-00003C110000}"/>
    <cellStyle name="수산" xfId="4304" xr:uid="{00000000-0005-0000-0000-00003D110000}"/>
    <cellStyle name="숨김" xfId="2184" xr:uid="{00000000-0005-0000-0000-00003E110000}"/>
    <cellStyle name="숫자" xfId="4305" xr:uid="{00000000-0005-0000-0000-00003F110000}"/>
    <cellStyle name="숫자(R)" xfId="2185" xr:uid="{00000000-0005-0000-0000-000040110000}"/>
    <cellStyle name="숫자(R) 2" xfId="4306" xr:uid="{00000000-0005-0000-0000-000041110000}"/>
    <cellStyle name="숫자(R) 3" xfId="4307" xr:uid="{00000000-0005-0000-0000-000042110000}"/>
    <cellStyle name="숫자(R) 4" xfId="4308" xr:uid="{00000000-0005-0000-0000-000043110000}"/>
    <cellStyle name="숫자(R)_공량산출서-구조물" xfId="4309" xr:uid="{00000000-0005-0000-0000-000044110000}"/>
    <cellStyle name="쉼표 [0]" xfId="2186" builtinId="6"/>
    <cellStyle name="쉼표 [0] 10" xfId="2187" xr:uid="{00000000-0005-0000-0000-000046110000}"/>
    <cellStyle name="쉼표 [0] 10 2" xfId="5141" xr:uid="{00000000-0005-0000-0000-000047110000}"/>
    <cellStyle name="쉼표 [0] 10 2 2" xfId="5274" xr:uid="{00000000-0005-0000-0000-000048110000}"/>
    <cellStyle name="쉼표 [0] 10 3" xfId="5260" xr:uid="{00000000-0005-0000-0000-000049110000}"/>
    <cellStyle name="쉼표 [0] 105" xfId="5146" xr:uid="{00000000-0005-0000-0000-00004A110000}"/>
    <cellStyle name="쉼표 [0] 105 2" xfId="5216" xr:uid="{00000000-0005-0000-0000-00004B110000}"/>
    <cellStyle name="쉼표 [0] 105 2 2" xfId="5316" xr:uid="{00000000-0005-0000-0000-00004C110000}"/>
    <cellStyle name="쉼표 [0] 105 3" xfId="5276" xr:uid="{00000000-0005-0000-0000-00004D110000}"/>
    <cellStyle name="쉼표 [0] 2" xfId="2188" xr:uid="{00000000-0005-0000-0000-00004E110000}"/>
    <cellStyle name="쉼표 [0] 2 2" xfId="2189" xr:uid="{00000000-0005-0000-0000-00004F110000}"/>
    <cellStyle name="쉼표 [0] 2 2 2" xfId="4310" xr:uid="{00000000-0005-0000-0000-000050110000}"/>
    <cellStyle name="쉼표 [0] 2 2 2 2" xfId="5210" xr:uid="{00000000-0005-0000-0000-000051110000}"/>
    <cellStyle name="쉼표 [0] 2 2 2 2 2" xfId="5310" xr:uid="{00000000-0005-0000-0000-000052110000}"/>
    <cellStyle name="쉼표 [0] 2 2 2 3" xfId="5268" xr:uid="{00000000-0005-0000-0000-000053110000}"/>
    <cellStyle name="쉼표 [0] 2 2 3" xfId="4311" xr:uid="{00000000-0005-0000-0000-000054110000}"/>
    <cellStyle name="쉼표 [0] 2 2 3 2" xfId="5211" xr:uid="{00000000-0005-0000-0000-000055110000}"/>
    <cellStyle name="쉼표 [0] 2 2 3 2 2" xfId="5311" xr:uid="{00000000-0005-0000-0000-000056110000}"/>
    <cellStyle name="쉼표 [0] 2 2 3 3" xfId="5269" xr:uid="{00000000-0005-0000-0000-000057110000}"/>
    <cellStyle name="쉼표 [0] 2 2 4" xfId="5179" xr:uid="{00000000-0005-0000-0000-000058110000}"/>
    <cellStyle name="쉼표 [0] 2 2 4 2" xfId="5299" xr:uid="{00000000-0005-0000-0000-000059110000}"/>
    <cellStyle name="쉼표 [0] 2 2 5" xfId="5262" xr:uid="{00000000-0005-0000-0000-00005A110000}"/>
    <cellStyle name="쉼표 [0] 2 2 6" xfId="5145" xr:uid="{00000000-0005-0000-0000-00005B110000}"/>
    <cellStyle name="쉼표 [0] 2 2 6 2" xfId="5215" xr:uid="{00000000-0005-0000-0000-00005C110000}"/>
    <cellStyle name="쉼표 [0] 2 2 6 2 2" xfId="5315" xr:uid="{00000000-0005-0000-0000-00005D110000}"/>
    <cellStyle name="쉼표 [0] 2 2 6 3" xfId="5275" xr:uid="{00000000-0005-0000-0000-00005E110000}"/>
    <cellStyle name="쉼표 [0] 2 3" xfId="5178" xr:uid="{00000000-0005-0000-0000-00005F110000}"/>
    <cellStyle name="쉼표 [0] 2 3 2" xfId="5233" xr:uid="{00000000-0005-0000-0000-000060110000}"/>
    <cellStyle name="쉼표 [0] 2 3 2 2" xfId="5321" xr:uid="{00000000-0005-0000-0000-000061110000}"/>
    <cellStyle name="쉼표 [0] 2 3 3" xfId="5298" xr:uid="{00000000-0005-0000-0000-000062110000}"/>
    <cellStyle name="쉼표 [0] 2 4" xfId="5261" xr:uid="{00000000-0005-0000-0000-000063110000}"/>
    <cellStyle name="쉼표 [0] 21" xfId="5223" xr:uid="{00000000-0005-0000-0000-000064110000}"/>
    <cellStyle name="쉼표 [0] 21 2" xfId="5320" xr:uid="{00000000-0005-0000-0000-000065110000}"/>
    <cellStyle name="쉼표 [0] 3" xfId="2190" xr:uid="{00000000-0005-0000-0000-000066110000}"/>
    <cellStyle name="쉼표 [0] 3 2" xfId="2191" xr:uid="{00000000-0005-0000-0000-000067110000}"/>
    <cellStyle name="쉼표 [0] 3 2 2" xfId="5181" xr:uid="{00000000-0005-0000-0000-000068110000}"/>
    <cellStyle name="쉼표 [0] 3 2 2 2" xfId="5301" xr:uid="{00000000-0005-0000-0000-000069110000}"/>
    <cellStyle name="쉼표 [0] 3 2 3" xfId="5264" xr:uid="{00000000-0005-0000-0000-00006A110000}"/>
    <cellStyle name="쉼표 [0] 3 3" xfId="5180" xr:uid="{00000000-0005-0000-0000-00006B110000}"/>
    <cellStyle name="쉼표 [0] 3 3 2" xfId="5300" xr:uid="{00000000-0005-0000-0000-00006C110000}"/>
    <cellStyle name="쉼표 [0] 3 4" xfId="5263" xr:uid="{00000000-0005-0000-0000-00006D110000}"/>
    <cellStyle name="쉼표 [0] 3 4 2" xfId="5236" xr:uid="{00000000-0005-0000-0000-00006E110000}"/>
    <cellStyle name="쉼표 [0] 3 4 2 2" xfId="5322" xr:uid="{00000000-0005-0000-0000-00006F110000}"/>
    <cellStyle name="쉼표 [0] 4" xfId="2192" xr:uid="{00000000-0005-0000-0000-000070110000}"/>
    <cellStyle name="쉼표 [0] 4 2" xfId="4312" xr:uid="{00000000-0005-0000-0000-000071110000}"/>
    <cellStyle name="쉼표 [0] 4 2 2" xfId="5212" xr:uid="{00000000-0005-0000-0000-000072110000}"/>
    <cellStyle name="쉼표 [0] 4 2 2 2" xfId="5312" xr:uid="{00000000-0005-0000-0000-000073110000}"/>
    <cellStyle name="쉼표 [0] 4 2 3" xfId="5270" xr:uid="{00000000-0005-0000-0000-000074110000}"/>
    <cellStyle name="쉼표 [0] 5" xfId="4313" xr:uid="{00000000-0005-0000-0000-000075110000}"/>
    <cellStyle name="쉼표 [0] 5 2" xfId="5213" xr:uid="{00000000-0005-0000-0000-000076110000}"/>
    <cellStyle name="쉼표 [0] 5 2 2" xfId="5313" xr:uid="{00000000-0005-0000-0000-000077110000}"/>
    <cellStyle name="쉼표 [0] 5 3" xfId="5271" xr:uid="{00000000-0005-0000-0000-000078110000}"/>
    <cellStyle name="쉼표 [0] 6" xfId="4314" xr:uid="{00000000-0005-0000-0000-000079110000}"/>
    <cellStyle name="쉼표 [0] 7" xfId="5139" xr:uid="{00000000-0005-0000-0000-00007A110000}"/>
    <cellStyle name="쉼표 [0] 7 2" xfId="5177" xr:uid="{00000000-0005-0000-0000-00007B110000}"/>
    <cellStyle name="쉼표 [0] 7 2 2" xfId="5238" xr:uid="{00000000-0005-0000-0000-00007C110000}"/>
    <cellStyle name="쉼표 [0] 7 2 2 2" xfId="5323" xr:uid="{00000000-0005-0000-0000-00007D110000}"/>
    <cellStyle name="쉼표 [0] 7 2 3" xfId="5297" xr:uid="{00000000-0005-0000-0000-00007E110000}"/>
    <cellStyle name="쉼표 [0] 7 3" xfId="5273" xr:uid="{00000000-0005-0000-0000-00007F110000}"/>
    <cellStyle name="쉼표 [0] 8" xfId="5220" xr:uid="{00000000-0005-0000-0000-000080110000}"/>
    <cellStyle name="쉼표 [0] 8 2" xfId="5319" xr:uid="{00000000-0005-0000-0000-000081110000}"/>
    <cellStyle name="쉼표 [0] 9" xfId="5259" xr:uid="{00000000-0005-0000-0000-000082110000}"/>
    <cellStyle name="쉼표 [0]_금계초-전기" xfId="2193" xr:uid="{00000000-0005-0000-0000-000083110000}"/>
    <cellStyle name="쉼표 [0]_무역(재주작업)" xfId="2194" xr:uid="{00000000-0005-0000-0000-000084110000}"/>
    <cellStyle name="쉼표 2" xfId="5138" xr:uid="{00000000-0005-0000-0000-000085110000}"/>
    <cellStyle name="쉼표 2 2" xfId="5272" xr:uid="{00000000-0005-0000-0000-000086110000}"/>
    <cellStyle name="스타일 1" xfId="2195" xr:uid="{00000000-0005-0000-0000-000087110000}"/>
    <cellStyle name="스타일 10" xfId="2196" xr:uid="{00000000-0005-0000-0000-000088110000}"/>
    <cellStyle name="스타일 100" xfId="4315" xr:uid="{00000000-0005-0000-0000-000089110000}"/>
    <cellStyle name="스타일 101" xfId="4316" xr:uid="{00000000-0005-0000-0000-00008A110000}"/>
    <cellStyle name="스타일 102" xfId="4317" xr:uid="{00000000-0005-0000-0000-00008B110000}"/>
    <cellStyle name="스타일 103" xfId="4318" xr:uid="{00000000-0005-0000-0000-00008C110000}"/>
    <cellStyle name="스타일 104" xfId="4319" xr:uid="{00000000-0005-0000-0000-00008D110000}"/>
    <cellStyle name="스타일 105" xfId="4320" xr:uid="{00000000-0005-0000-0000-00008E110000}"/>
    <cellStyle name="스타일 106" xfId="4321" xr:uid="{00000000-0005-0000-0000-00008F110000}"/>
    <cellStyle name="스타일 107" xfId="4322" xr:uid="{00000000-0005-0000-0000-000090110000}"/>
    <cellStyle name="스타일 108" xfId="4323" xr:uid="{00000000-0005-0000-0000-000091110000}"/>
    <cellStyle name="스타일 109" xfId="4324" xr:uid="{00000000-0005-0000-0000-000092110000}"/>
    <cellStyle name="스타일 11" xfId="2197" xr:uid="{00000000-0005-0000-0000-000093110000}"/>
    <cellStyle name="스타일 110" xfId="4325" xr:uid="{00000000-0005-0000-0000-000094110000}"/>
    <cellStyle name="스타일 111" xfId="4326" xr:uid="{00000000-0005-0000-0000-000095110000}"/>
    <cellStyle name="스타일 112" xfId="4327" xr:uid="{00000000-0005-0000-0000-000096110000}"/>
    <cellStyle name="스타일 113" xfId="4328" xr:uid="{00000000-0005-0000-0000-000097110000}"/>
    <cellStyle name="스타일 114" xfId="4329" xr:uid="{00000000-0005-0000-0000-000098110000}"/>
    <cellStyle name="스타일 115" xfId="4330" xr:uid="{00000000-0005-0000-0000-000099110000}"/>
    <cellStyle name="스타일 116" xfId="4331" xr:uid="{00000000-0005-0000-0000-00009A110000}"/>
    <cellStyle name="스타일 117" xfId="4332" xr:uid="{00000000-0005-0000-0000-00009B110000}"/>
    <cellStyle name="스타일 118" xfId="4333" xr:uid="{00000000-0005-0000-0000-00009C110000}"/>
    <cellStyle name="스타일 119" xfId="4334" xr:uid="{00000000-0005-0000-0000-00009D110000}"/>
    <cellStyle name="스타일 12" xfId="2198" xr:uid="{00000000-0005-0000-0000-00009E110000}"/>
    <cellStyle name="스타일 120" xfId="4335" xr:uid="{00000000-0005-0000-0000-00009F110000}"/>
    <cellStyle name="스타일 121" xfId="4336" xr:uid="{00000000-0005-0000-0000-0000A0110000}"/>
    <cellStyle name="스타일 122" xfId="4337" xr:uid="{00000000-0005-0000-0000-0000A1110000}"/>
    <cellStyle name="스타일 123" xfId="4338" xr:uid="{00000000-0005-0000-0000-0000A2110000}"/>
    <cellStyle name="스타일 124" xfId="4339" xr:uid="{00000000-0005-0000-0000-0000A3110000}"/>
    <cellStyle name="스타일 125" xfId="4340" xr:uid="{00000000-0005-0000-0000-0000A4110000}"/>
    <cellStyle name="스타일 126" xfId="4341" xr:uid="{00000000-0005-0000-0000-0000A5110000}"/>
    <cellStyle name="스타일 127" xfId="4342" xr:uid="{00000000-0005-0000-0000-0000A6110000}"/>
    <cellStyle name="스타일 128" xfId="4343" xr:uid="{00000000-0005-0000-0000-0000A7110000}"/>
    <cellStyle name="스타일 129" xfId="4344" xr:uid="{00000000-0005-0000-0000-0000A8110000}"/>
    <cellStyle name="스타일 13" xfId="2199" xr:uid="{00000000-0005-0000-0000-0000A9110000}"/>
    <cellStyle name="스타일 130" xfId="4345" xr:uid="{00000000-0005-0000-0000-0000AA110000}"/>
    <cellStyle name="스타일 131" xfId="4346" xr:uid="{00000000-0005-0000-0000-0000AB110000}"/>
    <cellStyle name="스타일 132" xfId="4347" xr:uid="{00000000-0005-0000-0000-0000AC110000}"/>
    <cellStyle name="스타일 133" xfId="4348" xr:uid="{00000000-0005-0000-0000-0000AD110000}"/>
    <cellStyle name="스타일 134" xfId="4349" xr:uid="{00000000-0005-0000-0000-0000AE110000}"/>
    <cellStyle name="스타일 135" xfId="4350" xr:uid="{00000000-0005-0000-0000-0000AF110000}"/>
    <cellStyle name="스타일 136" xfId="4351" xr:uid="{00000000-0005-0000-0000-0000B0110000}"/>
    <cellStyle name="스타일 137" xfId="4352" xr:uid="{00000000-0005-0000-0000-0000B1110000}"/>
    <cellStyle name="스타일 138" xfId="4353" xr:uid="{00000000-0005-0000-0000-0000B2110000}"/>
    <cellStyle name="스타일 139" xfId="4354" xr:uid="{00000000-0005-0000-0000-0000B3110000}"/>
    <cellStyle name="스타일 14" xfId="2200" xr:uid="{00000000-0005-0000-0000-0000B4110000}"/>
    <cellStyle name="스타일 140" xfId="4355" xr:uid="{00000000-0005-0000-0000-0000B5110000}"/>
    <cellStyle name="스타일 141" xfId="4356" xr:uid="{00000000-0005-0000-0000-0000B6110000}"/>
    <cellStyle name="스타일 142" xfId="4357" xr:uid="{00000000-0005-0000-0000-0000B7110000}"/>
    <cellStyle name="스타일 143" xfId="4358" xr:uid="{00000000-0005-0000-0000-0000B8110000}"/>
    <cellStyle name="스타일 144" xfId="4359" xr:uid="{00000000-0005-0000-0000-0000B9110000}"/>
    <cellStyle name="스타일 145" xfId="4360" xr:uid="{00000000-0005-0000-0000-0000BA110000}"/>
    <cellStyle name="스타일 146" xfId="4361" xr:uid="{00000000-0005-0000-0000-0000BB110000}"/>
    <cellStyle name="스타일 147" xfId="4362" xr:uid="{00000000-0005-0000-0000-0000BC110000}"/>
    <cellStyle name="스타일 148" xfId="4363" xr:uid="{00000000-0005-0000-0000-0000BD110000}"/>
    <cellStyle name="스타일 149" xfId="4364" xr:uid="{00000000-0005-0000-0000-0000BE110000}"/>
    <cellStyle name="스타일 15" xfId="2201" xr:uid="{00000000-0005-0000-0000-0000BF110000}"/>
    <cellStyle name="스타일 150" xfId="4365" xr:uid="{00000000-0005-0000-0000-0000C0110000}"/>
    <cellStyle name="스타일 151" xfId="4366" xr:uid="{00000000-0005-0000-0000-0000C1110000}"/>
    <cellStyle name="스타일 152" xfId="4367" xr:uid="{00000000-0005-0000-0000-0000C2110000}"/>
    <cellStyle name="스타일 153" xfId="4368" xr:uid="{00000000-0005-0000-0000-0000C3110000}"/>
    <cellStyle name="스타일 154" xfId="4369" xr:uid="{00000000-0005-0000-0000-0000C4110000}"/>
    <cellStyle name="스타일 155" xfId="4370" xr:uid="{00000000-0005-0000-0000-0000C5110000}"/>
    <cellStyle name="스타일 156" xfId="4371" xr:uid="{00000000-0005-0000-0000-0000C6110000}"/>
    <cellStyle name="스타일 157" xfId="4372" xr:uid="{00000000-0005-0000-0000-0000C7110000}"/>
    <cellStyle name="스타일 158" xfId="4373" xr:uid="{00000000-0005-0000-0000-0000C8110000}"/>
    <cellStyle name="스타일 159" xfId="4374" xr:uid="{00000000-0005-0000-0000-0000C9110000}"/>
    <cellStyle name="스타일 16" xfId="2202" xr:uid="{00000000-0005-0000-0000-0000CA110000}"/>
    <cellStyle name="스타일 160" xfId="4375" xr:uid="{00000000-0005-0000-0000-0000CB110000}"/>
    <cellStyle name="스타일 161" xfId="4376" xr:uid="{00000000-0005-0000-0000-0000CC110000}"/>
    <cellStyle name="스타일 162" xfId="4377" xr:uid="{00000000-0005-0000-0000-0000CD110000}"/>
    <cellStyle name="스타일 163" xfId="4378" xr:uid="{00000000-0005-0000-0000-0000CE110000}"/>
    <cellStyle name="스타일 164" xfId="4379" xr:uid="{00000000-0005-0000-0000-0000CF110000}"/>
    <cellStyle name="스타일 165" xfId="4380" xr:uid="{00000000-0005-0000-0000-0000D0110000}"/>
    <cellStyle name="스타일 166" xfId="4381" xr:uid="{00000000-0005-0000-0000-0000D1110000}"/>
    <cellStyle name="스타일 167" xfId="4382" xr:uid="{00000000-0005-0000-0000-0000D2110000}"/>
    <cellStyle name="스타일 168" xfId="4383" xr:uid="{00000000-0005-0000-0000-0000D3110000}"/>
    <cellStyle name="스타일 169" xfId="4384" xr:uid="{00000000-0005-0000-0000-0000D4110000}"/>
    <cellStyle name="스타일 17" xfId="2203" xr:uid="{00000000-0005-0000-0000-0000D5110000}"/>
    <cellStyle name="스타일 170" xfId="4385" xr:uid="{00000000-0005-0000-0000-0000D6110000}"/>
    <cellStyle name="스타일 171" xfId="4386" xr:uid="{00000000-0005-0000-0000-0000D7110000}"/>
    <cellStyle name="스타일 172" xfId="4387" xr:uid="{00000000-0005-0000-0000-0000D8110000}"/>
    <cellStyle name="스타일 173" xfId="4388" xr:uid="{00000000-0005-0000-0000-0000D9110000}"/>
    <cellStyle name="스타일 174" xfId="4389" xr:uid="{00000000-0005-0000-0000-0000DA110000}"/>
    <cellStyle name="스타일 175" xfId="4390" xr:uid="{00000000-0005-0000-0000-0000DB110000}"/>
    <cellStyle name="스타일 176" xfId="4391" xr:uid="{00000000-0005-0000-0000-0000DC110000}"/>
    <cellStyle name="스타일 177" xfId="4392" xr:uid="{00000000-0005-0000-0000-0000DD110000}"/>
    <cellStyle name="스타일 178" xfId="4393" xr:uid="{00000000-0005-0000-0000-0000DE110000}"/>
    <cellStyle name="스타일 179" xfId="4394" xr:uid="{00000000-0005-0000-0000-0000DF110000}"/>
    <cellStyle name="스타일 18" xfId="2204" xr:uid="{00000000-0005-0000-0000-0000E0110000}"/>
    <cellStyle name="스타일 180" xfId="4395" xr:uid="{00000000-0005-0000-0000-0000E1110000}"/>
    <cellStyle name="스타일 181" xfId="4396" xr:uid="{00000000-0005-0000-0000-0000E2110000}"/>
    <cellStyle name="스타일 182" xfId="4397" xr:uid="{00000000-0005-0000-0000-0000E3110000}"/>
    <cellStyle name="스타일 183" xfId="4398" xr:uid="{00000000-0005-0000-0000-0000E4110000}"/>
    <cellStyle name="스타일 184" xfId="4399" xr:uid="{00000000-0005-0000-0000-0000E5110000}"/>
    <cellStyle name="스타일 185" xfId="4400" xr:uid="{00000000-0005-0000-0000-0000E6110000}"/>
    <cellStyle name="스타일 186" xfId="4401" xr:uid="{00000000-0005-0000-0000-0000E7110000}"/>
    <cellStyle name="스타일 187" xfId="4402" xr:uid="{00000000-0005-0000-0000-0000E8110000}"/>
    <cellStyle name="스타일 188" xfId="4403" xr:uid="{00000000-0005-0000-0000-0000E9110000}"/>
    <cellStyle name="스타일 189" xfId="4404" xr:uid="{00000000-0005-0000-0000-0000EA110000}"/>
    <cellStyle name="스타일 19" xfId="2205" xr:uid="{00000000-0005-0000-0000-0000EB110000}"/>
    <cellStyle name="스타일 190" xfId="4405" xr:uid="{00000000-0005-0000-0000-0000EC110000}"/>
    <cellStyle name="스타일 191" xfId="4406" xr:uid="{00000000-0005-0000-0000-0000ED110000}"/>
    <cellStyle name="스타일 192" xfId="4407" xr:uid="{00000000-0005-0000-0000-0000EE110000}"/>
    <cellStyle name="스타일 193" xfId="4408" xr:uid="{00000000-0005-0000-0000-0000EF110000}"/>
    <cellStyle name="스타일 194" xfId="4409" xr:uid="{00000000-0005-0000-0000-0000F0110000}"/>
    <cellStyle name="스타일 195" xfId="4410" xr:uid="{00000000-0005-0000-0000-0000F1110000}"/>
    <cellStyle name="스타일 196" xfId="4411" xr:uid="{00000000-0005-0000-0000-0000F2110000}"/>
    <cellStyle name="스타일 197" xfId="4412" xr:uid="{00000000-0005-0000-0000-0000F3110000}"/>
    <cellStyle name="스타일 198" xfId="4413" xr:uid="{00000000-0005-0000-0000-0000F4110000}"/>
    <cellStyle name="스타일 199" xfId="4414" xr:uid="{00000000-0005-0000-0000-0000F5110000}"/>
    <cellStyle name="스타일 2" xfId="2206" xr:uid="{00000000-0005-0000-0000-0000F6110000}"/>
    <cellStyle name="스타일 20" xfId="2207" xr:uid="{00000000-0005-0000-0000-0000F7110000}"/>
    <cellStyle name="스타일 200" xfId="4415" xr:uid="{00000000-0005-0000-0000-0000F8110000}"/>
    <cellStyle name="스타일 201" xfId="4416" xr:uid="{00000000-0005-0000-0000-0000F9110000}"/>
    <cellStyle name="스타일 202" xfId="4417" xr:uid="{00000000-0005-0000-0000-0000FA110000}"/>
    <cellStyle name="스타일 203" xfId="4418" xr:uid="{00000000-0005-0000-0000-0000FB110000}"/>
    <cellStyle name="스타일 204" xfId="4419" xr:uid="{00000000-0005-0000-0000-0000FC110000}"/>
    <cellStyle name="스타일 205" xfId="4420" xr:uid="{00000000-0005-0000-0000-0000FD110000}"/>
    <cellStyle name="스타일 206" xfId="4421" xr:uid="{00000000-0005-0000-0000-0000FE110000}"/>
    <cellStyle name="스타일 207" xfId="4422" xr:uid="{00000000-0005-0000-0000-0000FF110000}"/>
    <cellStyle name="스타일 208" xfId="4423" xr:uid="{00000000-0005-0000-0000-000000120000}"/>
    <cellStyle name="스타일 209" xfId="4424" xr:uid="{00000000-0005-0000-0000-000001120000}"/>
    <cellStyle name="스타일 21" xfId="2208" xr:uid="{00000000-0005-0000-0000-000002120000}"/>
    <cellStyle name="스타일 210" xfId="4425" xr:uid="{00000000-0005-0000-0000-000003120000}"/>
    <cellStyle name="스타일 211" xfId="4426" xr:uid="{00000000-0005-0000-0000-000004120000}"/>
    <cellStyle name="스타일 212" xfId="4427" xr:uid="{00000000-0005-0000-0000-000005120000}"/>
    <cellStyle name="스타일 213" xfId="4428" xr:uid="{00000000-0005-0000-0000-000006120000}"/>
    <cellStyle name="스타일 214" xfId="4429" xr:uid="{00000000-0005-0000-0000-000007120000}"/>
    <cellStyle name="스타일 215" xfId="4430" xr:uid="{00000000-0005-0000-0000-000008120000}"/>
    <cellStyle name="스타일 216" xfId="4431" xr:uid="{00000000-0005-0000-0000-000009120000}"/>
    <cellStyle name="스타일 217" xfId="4432" xr:uid="{00000000-0005-0000-0000-00000A120000}"/>
    <cellStyle name="스타일 218" xfId="4433" xr:uid="{00000000-0005-0000-0000-00000B120000}"/>
    <cellStyle name="스타일 219" xfId="4434" xr:uid="{00000000-0005-0000-0000-00000C120000}"/>
    <cellStyle name="스타일 22" xfId="2209" xr:uid="{00000000-0005-0000-0000-00000D120000}"/>
    <cellStyle name="스타일 220" xfId="4435" xr:uid="{00000000-0005-0000-0000-00000E120000}"/>
    <cellStyle name="스타일 221" xfId="4436" xr:uid="{00000000-0005-0000-0000-00000F120000}"/>
    <cellStyle name="스타일 222" xfId="4437" xr:uid="{00000000-0005-0000-0000-000010120000}"/>
    <cellStyle name="스타일 223" xfId="4438" xr:uid="{00000000-0005-0000-0000-000011120000}"/>
    <cellStyle name="스타일 224" xfId="4439" xr:uid="{00000000-0005-0000-0000-000012120000}"/>
    <cellStyle name="스타일 225" xfId="4440" xr:uid="{00000000-0005-0000-0000-000013120000}"/>
    <cellStyle name="스타일 226" xfId="4441" xr:uid="{00000000-0005-0000-0000-000014120000}"/>
    <cellStyle name="스타일 227" xfId="4442" xr:uid="{00000000-0005-0000-0000-000015120000}"/>
    <cellStyle name="스타일 228" xfId="4443" xr:uid="{00000000-0005-0000-0000-000016120000}"/>
    <cellStyle name="스타일 229" xfId="4444" xr:uid="{00000000-0005-0000-0000-000017120000}"/>
    <cellStyle name="스타일 23" xfId="2210" xr:uid="{00000000-0005-0000-0000-000018120000}"/>
    <cellStyle name="스타일 230" xfId="4445" xr:uid="{00000000-0005-0000-0000-000019120000}"/>
    <cellStyle name="스타일 231" xfId="4446" xr:uid="{00000000-0005-0000-0000-00001A120000}"/>
    <cellStyle name="스타일 232" xfId="4447" xr:uid="{00000000-0005-0000-0000-00001B120000}"/>
    <cellStyle name="스타일 233" xfId="4448" xr:uid="{00000000-0005-0000-0000-00001C120000}"/>
    <cellStyle name="스타일 234" xfId="4449" xr:uid="{00000000-0005-0000-0000-00001D120000}"/>
    <cellStyle name="스타일 235" xfId="4450" xr:uid="{00000000-0005-0000-0000-00001E120000}"/>
    <cellStyle name="스타일 236" xfId="4451" xr:uid="{00000000-0005-0000-0000-00001F120000}"/>
    <cellStyle name="스타일 237" xfId="4452" xr:uid="{00000000-0005-0000-0000-000020120000}"/>
    <cellStyle name="스타일 238" xfId="4453" xr:uid="{00000000-0005-0000-0000-000021120000}"/>
    <cellStyle name="스타일 239" xfId="4454" xr:uid="{00000000-0005-0000-0000-000022120000}"/>
    <cellStyle name="스타일 24" xfId="2211" xr:uid="{00000000-0005-0000-0000-000023120000}"/>
    <cellStyle name="스타일 240" xfId="4455" xr:uid="{00000000-0005-0000-0000-000024120000}"/>
    <cellStyle name="스타일 241" xfId="4456" xr:uid="{00000000-0005-0000-0000-000025120000}"/>
    <cellStyle name="스타일 242" xfId="4457" xr:uid="{00000000-0005-0000-0000-000026120000}"/>
    <cellStyle name="스타일 243" xfId="4458" xr:uid="{00000000-0005-0000-0000-000027120000}"/>
    <cellStyle name="스타일 244" xfId="4459" xr:uid="{00000000-0005-0000-0000-000028120000}"/>
    <cellStyle name="스타일 245" xfId="4460" xr:uid="{00000000-0005-0000-0000-000029120000}"/>
    <cellStyle name="스타일 246" xfId="4461" xr:uid="{00000000-0005-0000-0000-00002A120000}"/>
    <cellStyle name="스타일 247" xfId="4462" xr:uid="{00000000-0005-0000-0000-00002B120000}"/>
    <cellStyle name="스타일 248" xfId="4463" xr:uid="{00000000-0005-0000-0000-00002C120000}"/>
    <cellStyle name="스타일 249" xfId="4464" xr:uid="{00000000-0005-0000-0000-00002D120000}"/>
    <cellStyle name="스타일 25" xfId="2212" xr:uid="{00000000-0005-0000-0000-00002E120000}"/>
    <cellStyle name="스타일 250" xfId="4465" xr:uid="{00000000-0005-0000-0000-00002F120000}"/>
    <cellStyle name="스타일 251" xfId="4466" xr:uid="{00000000-0005-0000-0000-000030120000}"/>
    <cellStyle name="스타일 252" xfId="4467" xr:uid="{00000000-0005-0000-0000-000031120000}"/>
    <cellStyle name="스타일 253" xfId="4468" xr:uid="{00000000-0005-0000-0000-000032120000}"/>
    <cellStyle name="스타일 254" xfId="4469" xr:uid="{00000000-0005-0000-0000-000033120000}"/>
    <cellStyle name="스타일 255" xfId="4470" xr:uid="{00000000-0005-0000-0000-000034120000}"/>
    <cellStyle name="스타일 26" xfId="2213" xr:uid="{00000000-0005-0000-0000-000035120000}"/>
    <cellStyle name="스타일 27" xfId="2214" xr:uid="{00000000-0005-0000-0000-000036120000}"/>
    <cellStyle name="스타일 28" xfId="2215" xr:uid="{00000000-0005-0000-0000-000037120000}"/>
    <cellStyle name="스타일 29" xfId="4471" xr:uid="{00000000-0005-0000-0000-000038120000}"/>
    <cellStyle name="스타일 3" xfId="2216" xr:uid="{00000000-0005-0000-0000-000039120000}"/>
    <cellStyle name="스타일 30" xfId="4472" xr:uid="{00000000-0005-0000-0000-00003A120000}"/>
    <cellStyle name="스타일 31" xfId="4473" xr:uid="{00000000-0005-0000-0000-00003B120000}"/>
    <cellStyle name="스타일 32" xfId="4474" xr:uid="{00000000-0005-0000-0000-00003C120000}"/>
    <cellStyle name="스타일 33" xfId="4475" xr:uid="{00000000-0005-0000-0000-00003D120000}"/>
    <cellStyle name="스타일 34" xfId="4476" xr:uid="{00000000-0005-0000-0000-00003E120000}"/>
    <cellStyle name="스타일 35" xfId="4477" xr:uid="{00000000-0005-0000-0000-00003F120000}"/>
    <cellStyle name="스타일 36" xfId="4478" xr:uid="{00000000-0005-0000-0000-000040120000}"/>
    <cellStyle name="스타일 37" xfId="4479" xr:uid="{00000000-0005-0000-0000-000041120000}"/>
    <cellStyle name="스타일 38" xfId="4480" xr:uid="{00000000-0005-0000-0000-000042120000}"/>
    <cellStyle name="스타일 39" xfId="4481" xr:uid="{00000000-0005-0000-0000-000043120000}"/>
    <cellStyle name="스타일 4" xfId="2217" xr:uid="{00000000-0005-0000-0000-000044120000}"/>
    <cellStyle name="스타일 40" xfId="4482" xr:uid="{00000000-0005-0000-0000-000045120000}"/>
    <cellStyle name="스타일 41" xfId="4483" xr:uid="{00000000-0005-0000-0000-000046120000}"/>
    <cellStyle name="스타일 42" xfId="4484" xr:uid="{00000000-0005-0000-0000-000047120000}"/>
    <cellStyle name="스타일 43" xfId="4485" xr:uid="{00000000-0005-0000-0000-000048120000}"/>
    <cellStyle name="스타일 44" xfId="4486" xr:uid="{00000000-0005-0000-0000-000049120000}"/>
    <cellStyle name="스타일 45" xfId="4487" xr:uid="{00000000-0005-0000-0000-00004A120000}"/>
    <cellStyle name="스타일 46" xfId="4488" xr:uid="{00000000-0005-0000-0000-00004B120000}"/>
    <cellStyle name="스타일 47" xfId="4489" xr:uid="{00000000-0005-0000-0000-00004C120000}"/>
    <cellStyle name="스타일 48" xfId="4490" xr:uid="{00000000-0005-0000-0000-00004D120000}"/>
    <cellStyle name="스타일 49" xfId="4491" xr:uid="{00000000-0005-0000-0000-00004E120000}"/>
    <cellStyle name="스타일 5" xfId="2218" xr:uid="{00000000-0005-0000-0000-00004F120000}"/>
    <cellStyle name="스타일 50" xfId="4492" xr:uid="{00000000-0005-0000-0000-000050120000}"/>
    <cellStyle name="스타일 51" xfId="4493" xr:uid="{00000000-0005-0000-0000-000051120000}"/>
    <cellStyle name="스타일 52" xfId="4494" xr:uid="{00000000-0005-0000-0000-000052120000}"/>
    <cellStyle name="스타일 53" xfId="4495" xr:uid="{00000000-0005-0000-0000-000053120000}"/>
    <cellStyle name="스타일 54" xfId="4496" xr:uid="{00000000-0005-0000-0000-000054120000}"/>
    <cellStyle name="스타일 55" xfId="4497" xr:uid="{00000000-0005-0000-0000-000055120000}"/>
    <cellStyle name="스타일 56" xfId="4498" xr:uid="{00000000-0005-0000-0000-000056120000}"/>
    <cellStyle name="스타일 57" xfId="4499" xr:uid="{00000000-0005-0000-0000-000057120000}"/>
    <cellStyle name="스타일 58" xfId="4500" xr:uid="{00000000-0005-0000-0000-000058120000}"/>
    <cellStyle name="스타일 59" xfId="4501" xr:uid="{00000000-0005-0000-0000-000059120000}"/>
    <cellStyle name="스타일 6" xfId="2219" xr:uid="{00000000-0005-0000-0000-00005A120000}"/>
    <cellStyle name="스타일 60" xfId="4502" xr:uid="{00000000-0005-0000-0000-00005B120000}"/>
    <cellStyle name="스타일 61" xfId="4503" xr:uid="{00000000-0005-0000-0000-00005C120000}"/>
    <cellStyle name="스타일 62" xfId="4504" xr:uid="{00000000-0005-0000-0000-00005D120000}"/>
    <cellStyle name="스타일 63" xfId="4505" xr:uid="{00000000-0005-0000-0000-00005E120000}"/>
    <cellStyle name="스타일 64" xfId="4506" xr:uid="{00000000-0005-0000-0000-00005F120000}"/>
    <cellStyle name="스타일 65" xfId="4507" xr:uid="{00000000-0005-0000-0000-000060120000}"/>
    <cellStyle name="스타일 66" xfId="4508" xr:uid="{00000000-0005-0000-0000-000061120000}"/>
    <cellStyle name="스타일 67" xfId="4509" xr:uid="{00000000-0005-0000-0000-000062120000}"/>
    <cellStyle name="스타일 68" xfId="4510" xr:uid="{00000000-0005-0000-0000-000063120000}"/>
    <cellStyle name="스타일 69" xfId="4511" xr:uid="{00000000-0005-0000-0000-000064120000}"/>
    <cellStyle name="스타일 7" xfId="2220" xr:uid="{00000000-0005-0000-0000-000065120000}"/>
    <cellStyle name="스타일 70" xfId="4512" xr:uid="{00000000-0005-0000-0000-000066120000}"/>
    <cellStyle name="스타일 71" xfId="4513" xr:uid="{00000000-0005-0000-0000-000067120000}"/>
    <cellStyle name="스타일 72" xfId="4514" xr:uid="{00000000-0005-0000-0000-000068120000}"/>
    <cellStyle name="스타일 73" xfId="4515" xr:uid="{00000000-0005-0000-0000-000069120000}"/>
    <cellStyle name="스타일 74" xfId="4516" xr:uid="{00000000-0005-0000-0000-00006A120000}"/>
    <cellStyle name="스타일 75" xfId="4517" xr:uid="{00000000-0005-0000-0000-00006B120000}"/>
    <cellStyle name="스타일 76" xfId="4518" xr:uid="{00000000-0005-0000-0000-00006C120000}"/>
    <cellStyle name="스타일 77" xfId="4519" xr:uid="{00000000-0005-0000-0000-00006D120000}"/>
    <cellStyle name="스타일 78" xfId="4520" xr:uid="{00000000-0005-0000-0000-00006E120000}"/>
    <cellStyle name="스타일 79" xfId="4521" xr:uid="{00000000-0005-0000-0000-00006F120000}"/>
    <cellStyle name="스타일 8" xfId="2221" xr:uid="{00000000-0005-0000-0000-000070120000}"/>
    <cellStyle name="스타일 80" xfId="4522" xr:uid="{00000000-0005-0000-0000-000071120000}"/>
    <cellStyle name="스타일 81" xfId="4523" xr:uid="{00000000-0005-0000-0000-000072120000}"/>
    <cellStyle name="스타일 82" xfId="4524" xr:uid="{00000000-0005-0000-0000-000073120000}"/>
    <cellStyle name="스타일 83" xfId="4525" xr:uid="{00000000-0005-0000-0000-000074120000}"/>
    <cellStyle name="스타일 84" xfId="4526" xr:uid="{00000000-0005-0000-0000-000075120000}"/>
    <cellStyle name="스타일 85" xfId="4527" xr:uid="{00000000-0005-0000-0000-000076120000}"/>
    <cellStyle name="스타일 86" xfId="4528" xr:uid="{00000000-0005-0000-0000-000077120000}"/>
    <cellStyle name="스타일 87" xfId="4529" xr:uid="{00000000-0005-0000-0000-000078120000}"/>
    <cellStyle name="스타일 88" xfId="4530" xr:uid="{00000000-0005-0000-0000-000079120000}"/>
    <cellStyle name="스타일 89" xfId="4531" xr:uid="{00000000-0005-0000-0000-00007A120000}"/>
    <cellStyle name="스타일 9" xfId="2222" xr:uid="{00000000-0005-0000-0000-00007B120000}"/>
    <cellStyle name="스타일 90" xfId="4532" xr:uid="{00000000-0005-0000-0000-00007C120000}"/>
    <cellStyle name="스타일 91" xfId="4533" xr:uid="{00000000-0005-0000-0000-00007D120000}"/>
    <cellStyle name="스타일 92" xfId="4534" xr:uid="{00000000-0005-0000-0000-00007E120000}"/>
    <cellStyle name="스타일 93" xfId="4535" xr:uid="{00000000-0005-0000-0000-00007F120000}"/>
    <cellStyle name="스타일 94" xfId="4536" xr:uid="{00000000-0005-0000-0000-000080120000}"/>
    <cellStyle name="스타일 95" xfId="4537" xr:uid="{00000000-0005-0000-0000-000081120000}"/>
    <cellStyle name="스타일 96" xfId="4538" xr:uid="{00000000-0005-0000-0000-000082120000}"/>
    <cellStyle name="스타일 97" xfId="4539" xr:uid="{00000000-0005-0000-0000-000083120000}"/>
    <cellStyle name="스타일 98" xfId="4540" xr:uid="{00000000-0005-0000-0000-000084120000}"/>
    <cellStyle name="스타일 99" xfId="4541" xr:uid="{00000000-0005-0000-0000-000085120000}"/>
    <cellStyle name="안건회계법인" xfId="2225" xr:uid="{00000000-0005-0000-0000-000086120000}"/>
    <cellStyle name="연장" xfId="2226" xr:uid="{00000000-0005-0000-0000-000087120000}"/>
    <cellStyle name="연장(1)" xfId="2227" xr:uid="{00000000-0005-0000-0000-000088120000}"/>
    <cellStyle name="연장(2)" xfId="2228" xr:uid="{00000000-0005-0000-0000-000089120000}"/>
    <cellStyle name="연장(㎞)" xfId="2229" xr:uid="{00000000-0005-0000-0000-00008A120000}"/>
    <cellStyle name="열어본 하이퍼링크" xfId="4542" xr:uid="{00000000-0005-0000-0000-00008B120000}"/>
    <cellStyle name="영호" xfId="2230" xr:uid="{00000000-0005-0000-0000-00008C120000}"/>
    <cellStyle name="원" xfId="2231" xr:uid="{00000000-0005-0000-0000-00008D120000}"/>
    <cellStyle name="원_0. 박열의사-총괄집계표(금회+차후)-1차수정" xfId="2232" xr:uid="{00000000-0005-0000-0000-00008E120000}"/>
    <cellStyle name="원_0008금감원통합감독검사정보시스템" xfId="4543" xr:uid="{00000000-0005-0000-0000-00008F120000}"/>
    <cellStyle name="원_0009김포공항LED교체공사(광일)" xfId="4544" xr:uid="{00000000-0005-0000-0000-000090120000}"/>
    <cellStyle name="원_0009김포공항LED교체공사(광일)_강원지역본부(2006년_060109)" xfId="4545" xr:uid="{00000000-0005-0000-0000-000091120000}"/>
    <cellStyle name="원_0009김포공항LED교체공사(광일)_경남지역본부-" xfId="4546" xr:uid="{00000000-0005-0000-0000-000092120000}"/>
    <cellStyle name="원_0009김포공항LED교체공사(광일)_경북지역본부-" xfId="4547" xr:uid="{00000000-0005-0000-0000-000093120000}"/>
    <cellStyle name="원_0009김포공항LED교체공사(광일)_중부지역본부-" xfId="4548" xr:uid="{00000000-0005-0000-0000-000094120000}"/>
    <cellStyle name="원_0009김포공항LED교체공사(광일)_충청지역본부-" xfId="4549" xr:uid="{00000000-0005-0000-0000-000095120000}"/>
    <cellStyle name="원_0009김포공항LED교체공사(광일)_통행료면탈방지시스템(최종)" xfId="4550" xr:uid="{00000000-0005-0000-0000-000096120000}"/>
    <cellStyle name="원_0009김포공항LED교체공사(광일)_호남지역본부-" xfId="4551" xr:uid="{00000000-0005-0000-0000-000097120000}"/>
    <cellStyle name="원_0011KIST소각설비제작설치" xfId="4568" xr:uid="{00000000-0005-0000-0000-000098120000}"/>
    <cellStyle name="원_0011KIST소각설비제작설치_강원지역본부(2006년_060109)" xfId="4569" xr:uid="{00000000-0005-0000-0000-000099120000}"/>
    <cellStyle name="원_0011KIST소각설비제작설치_경남지역본부-" xfId="4570" xr:uid="{00000000-0005-0000-0000-00009A120000}"/>
    <cellStyle name="원_0011KIST소각설비제작설치_경북지역본부-" xfId="4571" xr:uid="{00000000-0005-0000-0000-00009B120000}"/>
    <cellStyle name="원_0011KIST소각설비제작설치_중부지역본부-" xfId="4572" xr:uid="{00000000-0005-0000-0000-00009C120000}"/>
    <cellStyle name="원_0011KIST소각설비제작설치_충청지역본부-" xfId="4573" xr:uid="{00000000-0005-0000-0000-00009D120000}"/>
    <cellStyle name="원_0011KIST소각설비제작설치_통행료면탈방지시스템(최종)" xfId="4574" xr:uid="{00000000-0005-0000-0000-00009E120000}"/>
    <cellStyle name="원_0011KIST소각설비제작설치_호남지역본부-" xfId="4575" xr:uid="{00000000-0005-0000-0000-00009F120000}"/>
    <cellStyle name="원_0011긴급전화기정산(99년형광일)" xfId="4552" xr:uid="{00000000-0005-0000-0000-0000A0120000}"/>
    <cellStyle name="원_0011긴급전화기정산(99년형광일)_강원지역본부(2006년_060109)" xfId="4553" xr:uid="{00000000-0005-0000-0000-0000A1120000}"/>
    <cellStyle name="원_0011긴급전화기정산(99년형광일)_경남지역본부-" xfId="4554" xr:uid="{00000000-0005-0000-0000-0000A2120000}"/>
    <cellStyle name="원_0011긴급전화기정산(99년형광일)_경북지역본부-" xfId="4555" xr:uid="{00000000-0005-0000-0000-0000A3120000}"/>
    <cellStyle name="원_0011긴급전화기정산(99년형광일)_중부지역본부-" xfId="4556" xr:uid="{00000000-0005-0000-0000-0000A4120000}"/>
    <cellStyle name="원_0011긴급전화기정산(99년형광일)_충청지역본부-" xfId="4557" xr:uid="{00000000-0005-0000-0000-0000A5120000}"/>
    <cellStyle name="원_0011긴급전화기정산(99년형광일)_통행료면탈방지시스템(최종)" xfId="4558" xr:uid="{00000000-0005-0000-0000-0000A6120000}"/>
    <cellStyle name="원_0011긴급전화기정산(99년형광일)_호남지역본부-" xfId="4559" xr:uid="{00000000-0005-0000-0000-0000A7120000}"/>
    <cellStyle name="원_0011부산종합경기장전광판" xfId="4560" xr:uid="{00000000-0005-0000-0000-0000A8120000}"/>
    <cellStyle name="원_0011부산종합경기장전광판_강원지역본부(2006년_060109)" xfId="4561" xr:uid="{00000000-0005-0000-0000-0000A9120000}"/>
    <cellStyle name="원_0011부산종합경기장전광판_경남지역본부-" xfId="4562" xr:uid="{00000000-0005-0000-0000-0000AA120000}"/>
    <cellStyle name="원_0011부산종합경기장전광판_경북지역본부-" xfId="4563" xr:uid="{00000000-0005-0000-0000-0000AB120000}"/>
    <cellStyle name="원_0011부산종합경기장전광판_중부지역본부-" xfId="4564" xr:uid="{00000000-0005-0000-0000-0000AC120000}"/>
    <cellStyle name="원_0011부산종합경기장전광판_충청지역본부-" xfId="4565" xr:uid="{00000000-0005-0000-0000-0000AD120000}"/>
    <cellStyle name="원_0011부산종합경기장전광판_통행료면탈방지시스템(최종)" xfId="4566" xr:uid="{00000000-0005-0000-0000-0000AE120000}"/>
    <cellStyle name="원_0011부산종합경기장전광판_호남지역본부-" xfId="4567" xr:uid="{00000000-0005-0000-0000-0000AF120000}"/>
    <cellStyle name="원_0012문화유적지표석제작설치" xfId="4576" xr:uid="{00000000-0005-0000-0000-0000B0120000}"/>
    <cellStyle name="원_0012문화유적지표석제작설치_강원지역본부(2006년_060109)" xfId="4577" xr:uid="{00000000-0005-0000-0000-0000B1120000}"/>
    <cellStyle name="원_0012문화유적지표석제작설치_경남지역본부-" xfId="4578" xr:uid="{00000000-0005-0000-0000-0000B2120000}"/>
    <cellStyle name="원_0012문화유적지표석제작설치_경북지역본부-" xfId="4579" xr:uid="{00000000-0005-0000-0000-0000B3120000}"/>
    <cellStyle name="원_0012문화유적지표석제작설치_중부지역본부-" xfId="4580" xr:uid="{00000000-0005-0000-0000-0000B4120000}"/>
    <cellStyle name="원_0012문화유적지표석제작설치_충청지역본부-" xfId="4581" xr:uid="{00000000-0005-0000-0000-0000B5120000}"/>
    <cellStyle name="원_0012문화유적지표석제작설치_통행료면탈방지시스템(최종)" xfId="4582" xr:uid="{00000000-0005-0000-0000-0000B6120000}"/>
    <cellStyle name="원_0012문화유적지표석제작설치_호남지역본부-" xfId="4583" xr:uid="{00000000-0005-0000-0000-0000B7120000}"/>
    <cellStyle name="원_0102국제조명신공항분수조명" xfId="4584" xr:uid="{00000000-0005-0000-0000-0000B8120000}"/>
    <cellStyle name="원_0102국제조명신공항분수조명_강원지역본부(2006년_060109)" xfId="4585" xr:uid="{00000000-0005-0000-0000-0000B9120000}"/>
    <cellStyle name="원_0102국제조명신공항분수조명_경남지역본부-" xfId="4586" xr:uid="{00000000-0005-0000-0000-0000BA120000}"/>
    <cellStyle name="원_0102국제조명신공항분수조명_경북지역본부-" xfId="4587" xr:uid="{00000000-0005-0000-0000-0000BB120000}"/>
    <cellStyle name="원_0102국제조명신공항분수조명_중부지역본부-" xfId="4588" xr:uid="{00000000-0005-0000-0000-0000BC120000}"/>
    <cellStyle name="원_0102국제조명신공항분수조명_충청지역본부-" xfId="4589" xr:uid="{00000000-0005-0000-0000-0000BD120000}"/>
    <cellStyle name="원_0102국제조명신공항분수조명_통행료면탈방지시스템(최종)" xfId="4590" xr:uid="{00000000-0005-0000-0000-0000BE120000}"/>
    <cellStyle name="원_0102국제조명신공항분수조명_호남지역본부-" xfId="4591" xr:uid="{00000000-0005-0000-0000-0000BF120000}"/>
    <cellStyle name="원_0103회전식현수막게시대제작설치" xfId="4592" xr:uid="{00000000-0005-0000-0000-0000C0120000}"/>
    <cellStyle name="원_0104포항시침출수처리시스템" xfId="4593" xr:uid="{00000000-0005-0000-0000-0000C1120000}"/>
    <cellStyle name="원_0105담배자판기개조원가" xfId="4594" xr:uid="{00000000-0005-0000-0000-0000C2120000}"/>
    <cellStyle name="원_0105담배자판기개조원가_강원지역본부(2006년_060109)" xfId="4595" xr:uid="{00000000-0005-0000-0000-0000C3120000}"/>
    <cellStyle name="원_0105담배자판기개조원가_경남지역본부-" xfId="4596" xr:uid="{00000000-0005-0000-0000-0000C4120000}"/>
    <cellStyle name="원_0105담배자판기개조원가_경북지역본부-" xfId="4597" xr:uid="{00000000-0005-0000-0000-0000C5120000}"/>
    <cellStyle name="원_0105담배자판기개조원가_중부지역본부-" xfId="4598" xr:uid="{00000000-0005-0000-0000-0000C6120000}"/>
    <cellStyle name="원_0105담배자판기개조원가_충청지역본부-" xfId="4599" xr:uid="{00000000-0005-0000-0000-0000C7120000}"/>
    <cellStyle name="원_0105담배자판기개조원가_통행료면탈방지시스템(최종)" xfId="4600" xr:uid="{00000000-0005-0000-0000-0000C8120000}"/>
    <cellStyle name="원_0105담배자판기개조원가_호남지역본부-" xfId="4601" xr:uid="{00000000-0005-0000-0000-0000C9120000}"/>
    <cellStyle name="원_0106LG인버터냉난방기제작-1" xfId="4602" xr:uid="{00000000-0005-0000-0000-0000CA120000}"/>
    <cellStyle name="원_0106LG인버터냉난방기제작-1_강원지역본부(2006년_060109)" xfId="4603" xr:uid="{00000000-0005-0000-0000-0000CB120000}"/>
    <cellStyle name="원_0106LG인버터냉난방기제작-1_경남지역본부-" xfId="4604" xr:uid="{00000000-0005-0000-0000-0000CC120000}"/>
    <cellStyle name="원_0106LG인버터냉난방기제작-1_경북지역본부-" xfId="4605" xr:uid="{00000000-0005-0000-0000-0000CD120000}"/>
    <cellStyle name="원_0106LG인버터냉난방기제작-1_중부지역본부-" xfId="4606" xr:uid="{00000000-0005-0000-0000-0000CE120000}"/>
    <cellStyle name="원_0106LG인버터냉난방기제작-1_충청지역본부-" xfId="4607" xr:uid="{00000000-0005-0000-0000-0000CF120000}"/>
    <cellStyle name="원_0106LG인버터냉난방기제작-1_통행료면탈방지시스템(최종)" xfId="4608" xr:uid="{00000000-0005-0000-0000-0000D0120000}"/>
    <cellStyle name="원_0106LG인버터냉난방기제작-1_호남지역본부-" xfId="4609" xr:uid="{00000000-0005-0000-0000-0000D1120000}"/>
    <cellStyle name="원_0107광전송장비구매설치" xfId="4610" xr:uid="{00000000-0005-0000-0000-0000D2120000}"/>
    <cellStyle name="원_0107광전송장비구매설치_강원지역본부(2006년_060109)" xfId="4611" xr:uid="{00000000-0005-0000-0000-0000D3120000}"/>
    <cellStyle name="원_0107광전송장비구매설치_경남지역본부-" xfId="4612" xr:uid="{00000000-0005-0000-0000-0000D4120000}"/>
    <cellStyle name="원_0107광전송장비구매설치_경북지역본부-" xfId="4613" xr:uid="{00000000-0005-0000-0000-0000D5120000}"/>
    <cellStyle name="원_0107광전송장비구매설치_중부지역본부-" xfId="4614" xr:uid="{00000000-0005-0000-0000-0000D6120000}"/>
    <cellStyle name="원_0107광전송장비구매설치_충청지역본부-" xfId="4615" xr:uid="{00000000-0005-0000-0000-0000D7120000}"/>
    <cellStyle name="원_0107광전송장비구매설치_통행료면탈방지시스템(최종)" xfId="4616" xr:uid="{00000000-0005-0000-0000-0000D8120000}"/>
    <cellStyle name="원_0107광전송장비구매설치_호남지역본부-" xfId="4617" xr:uid="{00000000-0005-0000-0000-0000D9120000}"/>
    <cellStyle name="원_0107도공IBS설비SW부문(참조)" xfId="4618" xr:uid="{00000000-0005-0000-0000-0000DA120000}"/>
    <cellStyle name="원_0107도공IBS설비SW부문(참조)_강원지역본부(2006년_060109)" xfId="4619" xr:uid="{00000000-0005-0000-0000-0000DB120000}"/>
    <cellStyle name="원_0107도공IBS설비SW부문(참조)_경남지역본부-" xfId="4620" xr:uid="{00000000-0005-0000-0000-0000DC120000}"/>
    <cellStyle name="원_0107도공IBS설비SW부문(참조)_경북지역본부-" xfId="4621" xr:uid="{00000000-0005-0000-0000-0000DD120000}"/>
    <cellStyle name="원_0107도공IBS설비SW부문(참조)_중부지역본부-" xfId="4622" xr:uid="{00000000-0005-0000-0000-0000DE120000}"/>
    <cellStyle name="원_0107도공IBS설비SW부문(참조)_충청지역본부-" xfId="4623" xr:uid="{00000000-0005-0000-0000-0000DF120000}"/>
    <cellStyle name="원_0107도공IBS설비SW부문(참조)_통행료면탈방지시스템(최종)" xfId="4624" xr:uid="{00000000-0005-0000-0000-0000E0120000}"/>
    <cellStyle name="원_0107도공IBS설비SW부문(참조)_호남지역본부-" xfId="4625" xr:uid="{00000000-0005-0000-0000-0000E1120000}"/>
    <cellStyle name="원_0107문화재복원용목재-8월6일" xfId="4626" xr:uid="{00000000-0005-0000-0000-0000E2120000}"/>
    <cellStyle name="원_0107문화재복원용목재-8월6일_강원지역본부(2006년_060109)" xfId="4627" xr:uid="{00000000-0005-0000-0000-0000E3120000}"/>
    <cellStyle name="원_0107문화재복원용목재-8월6일_경남지역본부-" xfId="4628" xr:uid="{00000000-0005-0000-0000-0000E4120000}"/>
    <cellStyle name="원_0107문화재복원용목재-8월6일_경북지역본부-" xfId="4629" xr:uid="{00000000-0005-0000-0000-0000E5120000}"/>
    <cellStyle name="원_0107문화재복원용목재-8월6일_중부지역본부-" xfId="4630" xr:uid="{00000000-0005-0000-0000-0000E6120000}"/>
    <cellStyle name="원_0107문화재복원용목재-8월6일_충청지역본부-" xfId="4631" xr:uid="{00000000-0005-0000-0000-0000E7120000}"/>
    <cellStyle name="원_0107문화재복원용목재-8월6일_통행료면탈방지시스템(최종)" xfId="4632" xr:uid="{00000000-0005-0000-0000-0000E8120000}"/>
    <cellStyle name="원_0107문화재복원용목재-8월6일_호남지역본부-" xfId="4633" xr:uid="{00000000-0005-0000-0000-0000E9120000}"/>
    <cellStyle name="원_0107포천영중수배전반(제조,설치)" xfId="4634" xr:uid="{00000000-0005-0000-0000-0000EA120000}"/>
    <cellStyle name="원_0107포천영중수배전반(제조,설치)_강원지역본부(2006년_060109)" xfId="4635" xr:uid="{00000000-0005-0000-0000-0000EB120000}"/>
    <cellStyle name="원_0107포천영중수배전반(제조,설치)_경남지역본부-" xfId="4636" xr:uid="{00000000-0005-0000-0000-0000EC120000}"/>
    <cellStyle name="원_0107포천영중수배전반(제조,설치)_경북지역본부-" xfId="4637" xr:uid="{00000000-0005-0000-0000-0000ED120000}"/>
    <cellStyle name="원_0107포천영중수배전반(제조,설치)_중부지역본부-" xfId="4638" xr:uid="{00000000-0005-0000-0000-0000EE120000}"/>
    <cellStyle name="원_0107포천영중수배전반(제조,설치)_충청지역본부-" xfId="4639" xr:uid="{00000000-0005-0000-0000-0000EF120000}"/>
    <cellStyle name="원_0107포천영중수배전반(제조,설치)_통행료면탈방지시스템(최종)" xfId="4640" xr:uid="{00000000-0005-0000-0000-0000F0120000}"/>
    <cellStyle name="원_0107포천영중수배전반(제조,설치)_호남지역본부-" xfId="4641" xr:uid="{00000000-0005-0000-0000-0000F1120000}"/>
    <cellStyle name="원_0108농기반미곡건조기제작설치" xfId="4642" xr:uid="{00000000-0005-0000-0000-0000F2120000}"/>
    <cellStyle name="원_0108담배인삼공사영업춘추복" xfId="4643" xr:uid="{00000000-0005-0000-0000-0000F3120000}"/>
    <cellStyle name="원_0108한국전기교통-LED교통신호등((원본))" xfId="4644" xr:uid="{00000000-0005-0000-0000-0000F4120000}"/>
    <cellStyle name="원_0108한국전기교통-LED교통신호등((원본))_강원지역본부(2006년_060109)" xfId="4645" xr:uid="{00000000-0005-0000-0000-0000F5120000}"/>
    <cellStyle name="원_0108한국전기교통-LED교통신호등((원본))_경남지역본부-" xfId="4646" xr:uid="{00000000-0005-0000-0000-0000F6120000}"/>
    <cellStyle name="원_0108한국전기교통-LED교통신호등((원본))_경북지역본부-" xfId="4647" xr:uid="{00000000-0005-0000-0000-0000F7120000}"/>
    <cellStyle name="원_0108한국전기교통-LED교통신호등((원본))_중부지역본부-" xfId="4648" xr:uid="{00000000-0005-0000-0000-0000F8120000}"/>
    <cellStyle name="원_0108한국전기교통-LED교통신호등((원본))_충청지역본부-" xfId="4649" xr:uid="{00000000-0005-0000-0000-0000F9120000}"/>
    <cellStyle name="원_0108한국전기교통-LED교통신호등((원본))_통행료면탈방지시스템(최종)" xfId="4650" xr:uid="{00000000-0005-0000-0000-0000FA120000}"/>
    <cellStyle name="원_0108한국전기교통-LED교통신호등((원본))_호남지역본부-" xfId="4651" xr:uid="{00000000-0005-0000-0000-0000FB120000}"/>
    <cellStyle name="원_0111해양수산부등명기제작" xfId="4652" xr:uid="{00000000-0005-0000-0000-0000FC120000}"/>
    <cellStyle name="원_0111해양수산부등명기제작_강원지역본부(2006년_060109)" xfId="4653" xr:uid="{00000000-0005-0000-0000-0000FD120000}"/>
    <cellStyle name="원_0111해양수산부등명기제작_경남지역본부-" xfId="4654" xr:uid="{00000000-0005-0000-0000-0000FE120000}"/>
    <cellStyle name="원_0111해양수산부등명기제작_경북지역본부-" xfId="4655" xr:uid="{00000000-0005-0000-0000-0000FF120000}"/>
    <cellStyle name="원_0111해양수산부등명기제작_중부지역본부-" xfId="4656" xr:uid="{00000000-0005-0000-0000-000000130000}"/>
    <cellStyle name="원_0111해양수산부등명기제작_충청지역본부-" xfId="4657" xr:uid="{00000000-0005-0000-0000-000001130000}"/>
    <cellStyle name="원_0111해양수산부등명기제작_통행료면탈방지시스템(최종)" xfId="4658" xr:uid="{00000000-0005-0000-0000-000002130000}"/>
    <cellStyle name="원_0111해양수산부등명기제작_호남지역본부-" xfId="4659" xr:uid="{00000000-0005-0000-0000-000003130000}"/>
    <cellStyle name="원_0111핸디소프트-전자표준문서시스템" xfId="4660" xr:uid="{00000000-0005-0000-0000-000004130000}"/>
    <cellStyle name="원_0112금감원사무자동화시스템" xfId="4661" xr:uid="{00000000-0005-0000-0000-000005130000}"/>
    <cellStyle name="원_0112금감원사무자동화시스템_강원지역본부(2006년_060109)" xfId="4662" xr:uid="{00000000-0005-0000-0000-000006130000}"/>
    <cellStyle name="원_0112금감원사무자동화시스템_경남지역본부-" xfId="4663" xr:uid="{00000000-0005-0000-0000-000007130000}"/>
    <cellStyle name="원_0112금감원사무자동화시스템_경북지역본부-" xfId="4664" xr:uid="{00000000-0005-0000-0000-000008130000}"/>
    <cellStyle name="원_0112금감원사무자동화시스템_중부지역본부-" xfId="4665" xr:uid="{00000000-0005-0000-0000-000009130000}"/>
    <cellStyle name="원_0112금감원사무자동화시스템_충청지역본부-" xfId="4666" xr:uid="{00000000-0005-0000-0000-00000A130000}"/>
    <cellStyle name="원_0112금감원사무자동화시스템_통행료면탈방지시스템(최종)" xfId="4667" xr:uid="{00000000-0005-0000-0000-00000B130000}"/>
    <cellStyle name="원_0112금감원사무자동화시스템_호남지역본부-" xfId="4668" xr:uid="{00000000-0005-0000-0000-00000C130000}"/>
    <cellStyle name="원_0112수도권매립지SW원가" xfId="4669" xr:uid="{00000000-0005-0000-0000-00000D130000}"/>
    <cellStyle name="원_0112수도권매립지SW원가_강원지역본부(2006년_060109)" xfId="4670" xr:uid="{00000000-0005-0000-0000-00000E130000}"/>
    <cellStyle name="원_0112수도권매립지SW원가_경남지역본부-" xfId="4671" xr:uid="{00000000-0005-0000-0000-00000F130000}"/>
    <cellStyle name="원_0112수도권매립지SW원가_경북지역본부-" xfId="4672" xr:uid="{00000000-0005-0000-0000-000010130000}"/>
    <cellStyle name="원_0112수도권매립지SW원가_중부지역본부-" xfId="4673" xr:uid="{00000000-0005-0000-0000-000011130000}"/>
    <cellStyle name="원_0112수도권매립지SW원가_충청지역본부-" xfId="4674" xr:uid="{00000000-0005-0000-0000-000012130000}"/>
    <cellStyle name="원_0112수도권매립지SW원가_통행료면탈방지시스템(최종)" xfId="4675" xr:uid="{00000000-0005-0000-0000-000013130000}"/>
    <cellStyle name="원_0112수도권매립지SW원가_호남지역본부-" xfId="4676" xr:uid="{00000000-0005-0000-0000-000014130000}"/>
    <cellStyle name="원_0112중고원-HRD종합정보망구축(完)" xfId="4677" xr:uid="{00000000-0005-0000-0000-000015130000}"/>
    <cellStyle name="원_02_12작업" xfId="4678" xr:uid="{00000000-0005-0000-0000-000016130000}"/>
    <cellStyle name="원_0201종합예술회관의자제작설치" xfId="4679" xr:uid="{00000000-0005-0000-0000-000017130000}"/>
    <cellStyle name="원_0201종합예술회관의자제작설치_1. 경기35차로하이패스" xfId="4680" xr:uid="{00000000-0005-0000-0000-000018130000}"/>
    <cellStyle name="원_0201종합예술회관의자제작설치-1" xfId="4681" xr:uid="{00000000-0005-0000-0000-000019130000}"/>
    <cellStyle name="원_0202마사회근무복" xfId="4682" xr:uid="{00000000-0005-0000-0000-00001A130000}"/>
    <cellStyle name="원_0202마사회근무복_강원지역본부(2006년_060109)" xfId="4683" xr:uid="{00000000-0005-0000-0000-00001B130000}"/>
    <cellStyle name="원_0202마사회근무복_경남지역본부-" xfId="4684" xr:uid="{00000000-0005-0000-0000-00001C130000}"/>
    <cellStyle name="원_0202마사회근무복_경북지역본부-" xfId="4685" xr:uid="{00000000-0005-0000-0000-00001D130000}"/>
    <cellStyle name="원_0202마사회근무복_중부지역본부-" xfId="4686" xr:uid="{00000000-0005-0000-0000-00001E130000}"/>
    <cellStyle name="원_0202마사회근무복_충청지역본부-" xfId="4687" xr:uid="{00000000-0005-0000-0000-00001F130000}"/>
    <cellStyle name="원_0202마사회근무복_통행료면탈방지시스템(최종)" xfId="4688" xr:uid="{00000000-0005-0000-0000-000020130000}"/>
    <cellStyle name="원_0202마사회근무복_호남지역본부-" xfId="4689" xr:uid="{00000000-0005-0000-0000-000021130000}"/>
    <cellStyle name="원_0202부경교재-승강칠판" xfId="4690" xr:uid="{00000000-0005-0000-0000-000022130000}"/>
    <cellStyle name="원_0202부경교재-승강칠판_강원지역본부(2006년_060109)" xfId="4691" xr:uid="{00000000-0005-0000-0000-000023130000}"/>
    <cellStyle name="원_0202부경교재-승강칠판_경남지역본부-" xfId="4692" xr:uid="{00000000-0005-0000-0000-000024130000}"/>
    <cellStyle name="원_0202부경교재-승강칠판_경북지역본부-" xfId="4693" xr:uid="{00000000-0005-0000-0000-000025130000}"/>
    <cellStyle name="원_0202부경교재-승강칠판_중부지역본부-" xfId="4694" xr:uid="{00000000-0005-0000-0000-000026130000}"/>
    <cellStyle name="원_0202부경교재-승강칠판_충청지역본부-" xfId="4695" xr:uid="{00000000-0005-0000-0000-000027130000}"/>
    <cellStyle name="원_0202부경교재-승강칠판_통행료면탈방지시스템(최종)" xfId="4696" xr:uid="{00000000-0005-0000-0000-000028130000}"/>
    <cellStyle name="원_0202부경교재-승강칠판_호남지역본부-" xfId="4697" xr:uid="{00000000-0005-0000-0000-000029130000}"/>
    <cellStyle name="원_0204한국석묘납골함-1규격" xfId="4698" xr:uid="{00000000-0005-0000-0000-00002A130000}"/>
    <cellStyle name="원_0204한국석묘납골함-1규격_강원지역본부(2006년_060109)" xfId="4699" xr:uid="{00000000-0005-0000-0000-00002B130000}"/>
    <cellStyle name="원_0204한국석묘납골함-1규격_경남지역본부-" xfId="4700" xr:uid="{00000000-0005-0000-0000-00002C130000}"/>
    <cellStyle name="원_0204한국석묘납골함-1규격_경북지역본부-" xfId="4701" xr:uid="{00000000-0005-0000-0000-00002D130000}"/>
    <cellStyle name="원_0204한국석묘납골함-1규격_중부지역본부-" xfId="4702" xr:uid="{00000000-0005-0000-0000-00002E130000}"/>
    <cellStyle name="원_0204한국석묘납골함-1규격_충청지역본부-" xfId="4703" xr:uid="{00000000-0005-0000-0000-00002F130000}"/>
    <cellStyle name="원_0204한국석묘납골함-1규격_통행료면탈방지시스템(최종)" xfId="4704" xr:uid="{00000000-0005-0000-0000-000030130000}"/>
    <cellStyle name="원_0204한국석묘납골함-1규격_호남지역본부-" xfId="4705" xr:uid="{00000000-0005-0000-0000-000031130000}"/>
    <cellStyle name="원_0205TTMS-긴급전화기&amp;전체총괄" xfId="4706" xr:uid="{00000000-0005-0000-0000-000032130000}"/>
    <cellStyle name="원_0206금감원금융정보교환망재구축" xfId="4707" xr:uid="{00000000-0005-0000-0000-000033130000}"/>
    <cellStyle name="원_0206정통부수납장표기기제작설치" xfId="4708" xr:uid="{00000000-0005-0000-0000-000034130000}"/>
    <cellStyle name="원_0207담배인삼공사-담요" xfId="4709" xr:uid="{00000000-0005-0000-0000-000035130000}"/>
    <cellStyle name="원_0208레비텍-다층여과기설계변경" xfId="4710" xr:uid="{00000000-0005-0000-0000-000036130000}"/>
    <cellStyle name="원_0209이산화염소발생기-설치(50K)" xfId="4711" xr:uid="{00000000-0005-0000-0000-000037130000}"/>
    <cellStyle name="원_0210현대정보기술-TD이중계" xfId="4712" xr:uid="{00000000-0005-0000-0000-000038130000}"/>
    <cellStyle name="원_0211조달청-#1대북지원사업정산(1월7일)" xfId="4713" xr:uid="{00000000-0005-0000-0000-000039130000}"/>
    <cellStyle name="원_0212금감원-법규정보시스템(完)" xfId="4714" xr:uid="{00000000-0005-0000-0000-00003A130000}"/>
    <cellStyle name="원_0301교통방송-CCTV유지보수" xfId="4715" xr:uid="{00000000-0005-0000-0000-00003B130000}"/>
    <cellStyle name="원_0302인천경찰청-무인단속기위탁관리" xfId="4716" xr:uid="{00000000-0005-0000-0000-00003C130000}"/>
    <cellStyle name="원_0302조달청-대북지원2차(안성연)" xfId="4717" xr:uid="{00000000-0005-0000-0000-00003D130000}"/>
    <cellStyle name="원_0302조달청-대북지원2차(최수현)" xfId="4718" xr:uid="{00000000-0005-0000-0000-00003E130000}"/>
    <cellStyle name="원_0302표준문서-쌍용정보통신(신)" xfId="4719" xr:uid="{00000000-0005-0000-0000-00003F130000}"/>
    <cellStyle name="원_0304소프트파워-정부표준전자문서시스템" xfId="4720" xr:uid="{00000000-0005-0000-0000-000040130000}"/>
    <cellStyle name="원_0304소프트파워-정부표준전자문서시스템(完)" xfId="4721" xr:uid="{00000000-0005-0000-0000-000041130000}"/>
    <cellStyle name="원_0304철도청-주변환장치-1" xfId="4722" xr:uid="{00000000-0005-0000-0000-000042130000}"/>
    <cellStyle name="원_0305금감원-금융통계정보시스템구축(完)" xfId="4723" xr:uid="{00000000-0005-0000-0000-000043130000}"/>
    <cellStyle name="원_0305제낭조합-면범포지" xfId="4724" xr:uid="{00000000-0005-0000-0000-000044130000}"/>
    <cellStyle name="원_0306제낭공업협동조합-면범포지원단(경비까지)" xfId="4725" xr:uid="{00000000-0005-0000-0000-000045130000}"/>
    <cellStyle name="원_0307경찰청-무인교통단속표준SW개발용역(完)" xfId="4726" xr:uid="{00000000-0005-0000-0000-000046130000}"/>
    <cellStyle name="원_0308조달청-#8대북지원사업정산" xfId="4727" xr:uid="{00000000-0005-0000-0000-000047130000}"/>
    <cellStyle name="원_0309두합크린텍-설치원가" xfId="4728" xr:uid="{00000000-0005-0000-0000-000048130000}"/>
    <cellStyle name="원_0309조달청-#9대북지원사업정산" xfId="4729" xr:uid="{00000000-0005-0000-0000-000049130000}"/>
    <cellStyle name="원_0310여주상수도-탈수기(유천ENG)" xfId="4730" xr:uid="{00000000-0005-0000-0000-00004A130000}"/>
    <cellStyle name="원_0311대기해양작업시간" xfId="4731" xr:uid="{00000000-0005-0000-0000-00004B130000}"/>
    <cellStyle name="원_0311대기해양중형등명기" xfId="4732" xr:uid="{00000000-0005-0000-0000-00004C130000}"/>
    <cellStyle name="원_0312국민체육진흥공단-전기부문" xfId="4733" xr:uid="{00000000-0005-0000-0000-00004D130000}"/>
    <cellStyle name="원_0312대기해양-중형등명기제작설치" xfId="4734" xr:uid="{00000000-0005-0000-0000-00004E130000}"/>
    <cellStyle name="원_0312라이준-칼라아스콘4규격" xfId="4735" xr:uid="{00000000-0005-0000-0000-00004F130000}"/>
    <cellStyle name="원_03정산" xfId="4736" xr:uid="{00000000-0005-0000-0000-000050130000}"/>
    <cellStyle name="원_04_01작업" xfId="4737" xr:uid="{00000000-0005-0000-0000-000051130000}"/>
    <cellStyle name="원_0401집진기프로그램SW개발비산정" xfId="4738" xr:uid="{00000000-0005-0000-0000-000052130000}"/>
    <cellStyle name="원_04시행" xfId="4739" xr:uid="{00000000-0005-0000-0000-000053130000}"/>
    <cellStyle name="원_13. 관리동" xfId="4740" xr:uid="{00000000-0005-0000-0000-000054130000}"/>
    <cellStyle name="원_2001-06조달청신성-한냉지형" xfId="4741" xr:uid="{00000000-0005-0000-0000-000055130000}"/>
    <cellStyle name="원_2002-03경찰대학-졸업식" xfId="4742" xr:uid="{00000000-0005-0000-0000-000056130000}"/>
    <cellStyle name="원_2002-03경찰청-경찰표지장" xfId="4743" xr:uid="{00000000-0005-0000-0000-000057130000}"/>
    <cellStyle name="원_2002-03반디-가로등(열주형)" xfId="4744" xr:uid="{00000000-0005-0000-0000-000058130000}"/>
    <cellStyle name="원_2002-03신화전자-감지기" xfId="4745" xr:uid="{00000000-0005-0000-0000-000059130000}"/>
    <cellStyle name="원_2002-04강원랜드-슬러트머신" xfId="4746" xr:uid="{00000000-0005-0000-0000-00005A130000}"/>
    <cellStyle name="원_2002-04메가컴-외주무대" xfId="4747" xr:uid="{00000000-0005-0000-0000-00005B130000}"/>
    <cellStyle name="원_2002-04엘지애드-무대" xfId="4748" xr:uid="{00000000-0005-0000-0000-00005C130000}"/>
    <cellStyle name="원_2002-05강원랜드-슬러트머신(넥스터)" xfId="4749" xr:uid="{00000000-0005-0000-0000-00005D130000}"/>
    <cellStyle name="원_2002-05경기경찰청-냉온수기공사" xfId="4750" xr:uid="{00000000-0005-0000-0000-00005E130000}"/>
    <cellStyle name="원_2002-05대통령비서실-카페트" xfId="4751" xr:uid="{00000000-0005-0000-0000-00005F130000}"/>
    <cellStyle name="원_2002결과표" xfId="4752" xr:uid="{00000000-0005-0000-0000-000060130000}"/>
    <cellStyle name="원_2002결과표_강원지역본부(2006년_060109)" xfId="4753" xr:uid="{00000000-0005-0000-0000-000061130000}"/>
    <cellStyle name="원_2002결과표_경남지역본부-" xfId="4754" xr:uid="{00000000-0005-0000-0000-000062130000}"/>
    <cellStyle name="원_2002결과표_경북지역본부-" xfId="4755" xr:uid="{00000000-0005-0000-0000-000063130000}"/>
    <cellStyle name="원_2002결과표_중부지역본부-" xfId="4756" xr:uid="{00000000-0005-0000-0000-000064130000}"/>
    <cellStyle name="원_2002결과표_충청지역본부-" xfId="4757" xr:uid="{00000000-0005-0000-0000-000065130000}"/>
    <cellStyle name="원_2002결과표_통행료면탈방지시스템(최종)" xfId="4758" xr:uid="{00000000-0005-0000-0000-000066130000}"/>
    <cellStyle name="원_2002결과표_호남지역본부-" xfId="4759" xr:uid="{00000000-0005-0000-0000-000067130000}"/>
    <cellStyle name="원_2002결과표1" xfId="4760" xr:uid="{00000000-0005-0000-0000-000068130000}"/>
    <cellStyle name="원_2002년시행계획서 변경확정" xfId="4761" xr:uid="{00000000-0005-0000-0000-000069130000}"/>
    <cellStyle name="원_2003-01정일사-표창5종" xfId="4762" xr:uid="{00000000-0005-0000-0000-00006A130000}"/>
    <cellStyle name="원_465_kangwon2002-5-2-1)최종수정)" xfId="4763" xr:uid="{00000000-0005-0000-0000-00006B130000}"/>
    <cellStyle name="원_5월 율북기성" xfId="4764" xr:uid="{00000000-0005-0000-0000-00006C130000}"/>
    <cellStyle name="원_6월 율북기성" xfId="4765" xr:uid="{00000000-0005-0000-0000-00006D130000}"/>
    <cellStyle name="원_CHONG" xfId="4885" xr:uid="{00000000-0005-0000-0000-00006E130000}"/>
    <cellStyle name="원_DANGA" xfId="4886" xr:uid="{00000000-0005-0000-0000-00006F130000}"/>
    <cellStyle name="원_JISU_New" xfId="4887" xr:uid="{00000000-0005-0000-0000-000070130000}"/>
    <cellStyle name="원_Pilot플랜트-계변경" xfId="4888" xr:uid="{00000000-0005-0000-0000-000071130000}"/>
    <cellStyle name="원_Pilot플랜트이전설치-변경최종" xfId="4889" xr:uid="{00000000-0005-0000-0000-000072130000}"/>
    <cellStyle name="원_PYUNG" xfId="4890" xr:uid="{00000000-0005-0000-0000-000073130000}"/>
    <cellStyle name="원_SW(케이비)" xfId="4891" xr:uid="{00000000-0005-0000-0000-000074130000}"/>
    <cellStyle name="원_간지,목차,페이지,표지" xfId="4766" xr:uid="{00000000-0005-0000-0000-000075130000}"/>
    <cellStyle name="원_갑지,원가1104" xfId="2233" xr:uid="{00000000-0005-0000-0000-000076130000}"/>
    <cellStyle name="원_강원지역본부(2006년_060109)" xfId="4767" xr:uid="{00000000-0005-0000-0000-000077130000}"/>
    <cellStyle name="원_강진(내역)" xfId="4768" xr:uid="{00000000-0005-0000-0000-000078130000}"/>
    <cellStyle name="원_강진(내역)-적용" xfId="4769" xr:uid="{00000000-0005-0000-0000-000079130000}"/>
    <cellStyle name="원_강진체육공원" xfId="4770" xr:uid="{00000000-0005-0000-0000-00007A130000}"/>
    <cellStyle name="원_경남지역본부-" xfId="4771" xr:uid="{00000000-0005-0000-0000-00007B130000}"/>
    <cellStyle name="원_경북지역본부-" xfId="4772" xr:uid="{00000000-0005-0000-0000-00007C130000}"/>
    <cellStyle name="원_경찰청-근무,기동복" xfId="4773" xr:uid="{00000000-0005-0000-0000-00007D130000}"/>
    <cellStyle name="원_공량산출서-구조물" xfId="4774" xr:uid="{00000000-0005-0000-0000-00007E130000}"/>
    <cellStyle name="원_공사비2001-06" xfId="4775" xr:uid="{00000000-0005-0000-0000-00007F130000}"/>
    <cellStyle name="원_공사일반관리비양식" xfId="4776" xr:uid="{00000000-0005-0000-0000-000080130000}"/>
    <cellStyle name="원_관리동sw" xfId="4777" xr:uid="{00000000-0005-0000-0000-000081130000}"/>
    <cellStyle name="원_금성농협 건조저장시설(전기내역)-최종수정내역" xfId="4778" xr:uid="{00000000-0005-0000-0000-000082130000}"/>
    <cellStyle name="원_기초공사" xfId="4779" xr:uid="{00000000-0005-0000-0000-000083130000}"/>
    <cellStyle name="원_내역서" xfId="4780" xr:uid="{00000000-0005-0000-0000-000084130000}"/>
    <cellStyle name="원_내연산(토목)" xfId="4781" xr:uid="{00000000-0005-0000-0000-000085130000}"/>
    <cellStyle name="원_네인텍정보기술-회로카드(수현)" xfId="4782" xr:uid="{00000000-0005-0000-0000-000086130000}"/>
    <cellStyle name="원_농기반" xfId="4783" xr:uid="{00000000-0005-0000-0000-000087130000}"/>
    <cellStyle name="원_단가대비표" xfId="4784" xr:uid="{00000000-0005-0000-0000-000088130000}"/>
    <cellStyle name="원_단가일람" xfId="4785" xr:uid="{00000000-0005-0000-0000-000089130000}"/>
    <cellStyle name="원_대기해양노무비" xfId="4786" xr:uid="{00000000-0005-0000-0000-00008A130000}"/>
    <cellStyle name="원_대북자재8월분" xfId="4787" xr:uid="{00000000-0005-0000-0000-00008B130000}"/>
    <cellStyle name="원_대북자재8월분-1" xfId="4788" xr:uid="{00000000-0005-0000-0000-00008C130000}"/>
    <cellStyle name="원_동산용사촌수현(원본)" xfId="4789" xr:uid="{00000000-0005-0000-0000-00008D130000}"/>
    <cellStyle name="원_동산용사촌수현(원본)_강원지역본부(2006년_060109)" xfId="4790" xr:uid="{00000000-0005-0000-0000-00008E130000}"/>
    <cellStyle name="원_동산용사촌수현(원본)_경남지역본부-" xfId="4791" xr:uid="{00000000-0005-0000-0000-00008F130000}"/>
    <cellStyle name="원_동산용사촌수현(원본)_경북지역본부-" xfId="4792" xr:uid="{00000000-0005-0000-0000-000090130000}"/>
    <cellStyle name="원_동산용사촌수현(원본)_중부지역본부-" xfId="4793" xr:uid="{00000000-0005-0000-0000-000091130000}"/>
    <cellStyle name="원_동산용사촌수현(원본)_충청지역본부-" xfId="4794" xr:uid="{00000000-0005-0000-0000-000092130000}"/>
    <cellStyle name="원_동산용사촌수현(원본)_통행료면탈방지시스템(최종)" xfId="4795" xr:uid="{00000000-0005-0000-0000-000093130000}"/>
    <cellStyle name="원_동산용사촌수현(원본)_호남지역본부-" xfId="4796" xr:uid="{00000000-0005-0000-0000-000094130000}"/>
    <cellStyle name="원_맨홀진짜" xfId="4797" xr:uid="{00000000-0005-0000-0000-000095130000}"/>
    <cellStyle name="원_목차" xfId="4798" xr:uid="{00000000-0005-0000-0000-000096130000}"/>
    <cellStyle name="원_무안공원시설" xfId="4799" xr:uid="{00000000-0005-0000-0000-000097130000}"/>
    <cellStyle name="원_백제군사전시1" xfId="4800" xr:uid="{00000000-0005-0000-0000-000098130000}"/>
    <cellStyle name="원_변경내역1(낙찰적용)" xfId="4801" xr:uid="{00000000-0005-0000-0000-000099130000}"/>
    <cellStyle name="원_상수도" xfId="4802" xr:uid="{00000000-0005-0000-0000-00009A130000}"/>
    <cellStyle name="원_수량" xfId="4803" xr:uid="{00000000-0005-0000-0000-00009B130000}"/>
    <cellStyle name="원_수량(5.18)" xfId="4804" xr:uid="{00000000-0005-0000-0000-00009C130000}"/>
    <cellStyle name="원_수량산출서(신규)" xfId="4805" xr:uid="{00000000-0005-0000-0000-00009D130000}"/>
    <cellStyle name="원_수량산출조서" xfId="4806" xr:uid="{00000000-0005-0000-0000-00009E130000}"/>
    <cellStyle name="원_수량집계" xfId="4807" xr:uid="{00000000-0005-0000-0000-00009F130000}"/>
    <cellStyle name="원_수초제거기(대양기계)" xfId="4808" xr:uid="{00000000-0005-0000-0000-0000A0130000}"/>
    <cellStyle name="원_수초제거기(대양기계)_강원지역본부(2006년_060109)" xfId="4809" xr:uid="{00000000-0005-0000-0000-0000A1130000}"/>
    <cellStyle name="원_수초제거기(대양기계)_경남지역본부-" xfId="4810" xr:uid="{00000000-0005-0000-0000-0000A2130000}"/>
    <cellStyle name="원_수초제거기(대양기계)_경북지역본부-" xfId="4811" xr:uid="{00000000-0005-0000-0000-0000A3130000}"/>
    <cellStyle name="원_수초제거기(대양기계)_중부지역본부-" xfId="4812" xr:uid="{00000000-0005-0000-0000-0000A4130000}"/>
    <cellStyle name="원_수초제거기(대양기계)_충청지역본부-" xfId="4813" xr:uid="{00000000-0005-0000-0000-0000A5130000}"/>
    <cellStyle name="원_수초제거기(대양기계)_통행료면탈방지시스템(최종)" xfId="4814" xr:uid="{00000000-0005-0000-0000-0000A6130000}"/>
    <cellStyle name="원_수초제거기(대양기계)_호남지역본부-" xfId="4815" xr:uid="{00000000-0005-0000-0000-0000A7130000}"/>
    <cellStyle name="원_시설용역" xfId="4816" xr:uid="{00000000-0005-0000-0000-0000A8130000}"/>
    <cellStyle name="원_암전정밀실체현미경(수현)" xfId="4817" xr:uid="{00000000-0005-0000-0000-0000A9130000}"/>
    <cellStyle name="원_영풍작업(04)" xfId="4818" xr:uid="{00000000-0005-0000-0000-0000AA130000}"/>
    <cellStyle name="원_영풍작업(2004 내역)" xfId="4819" xr:uid="{00000000-0005-0000-0000-0000AB130000}"/>
    <cellStyle name="원_영풍제시행계획03년도 내역1" xfId="4820" xr:uid="{00000000-0005-0000-0000-0000AC130000}"/>
    <cellStyle name="원_영풍지구 심사서" xfId="4821" xr:uid="{00000000-0005-0000-0000-0000AD130000}"/>
    <cellStyle name="원_오리엔탈" xfId="4822" xr:uid="{00000000-0005-0000-0000-0000AE130000}"/>
    <cellStyle name="원_원본 - 한국전기교통-개선형신호등 4종" xfId="4823" xr:uid="{00000000-0005-0000-0000-0000AF130000}"/>
    <cellStyle name="원_원본 - 한국전기교통-개선형신호등 4종_강원지역본부(2006년_060109)" xfId="4824" xr:uid="{00000000-0005-0000-0000-0000B0130000}"/>
    <cellStyle name="원_원본 - 한국전기교통-개선형신호등 4종_경남지역본부-" xfId="4825" xr:uid="{00000000-0005-0000-0000-0000B1130000}"/>
    <cellStyle name="원_원본 - 한국전기교통-개선형신호등 4종_경북지역본부-" xfId="4826" xr:uid="{00000000-0005-0000-0000-0000B2130000}"/>
    <cellStyle name="원_원본 - 한국전기교통-개선형신호등 4종_중부지역본부-" xfId="4827" xr:uid="{00000000-0005-0000-0000-0000B3130000}"/>
    <cellStyle name="원_원본 - 한국전기교통-개선형신호등 4종_충청지역본부-" xfId="4828" xr:uid="{00000000-0005-0000-0000-0000B4130000}"/>
    <cellStyle name="원_원본 - 한국전기교통-개선형신호등 4종_통행료면탈방지시스템(최종)" xfId="4829" xr:uid="{00000000-0005-0000-0000-0000B5130000}"/>
    <cellStyle name="원_원본 - 한국전기교통-개선형신호등 4종_호남지역본부-" xfId="4830" xr:uid="{00000000-0005-0000-0000-0000B6130000}"/>
    <cellStyle name="원_유아교육진흥원 신축전기공사" xfId="4831" xr:uid="{00000000-0005-0000-0000-0000B7130000}"/>
    <cellStyle name="원_인흥공사비(수지예산서)" xfId="4832" xr:uid="{00000000-0005-0000-0000-0000B8130000}"/>
    <cellStyle name="원_일위대가표 " xfId="4833" xr:uid="{00000000-0005-0000-0000-0000B9130000}"/>
    <cellStyle name="원_작업" xfId="4834" xr:uid="{00000000-0005-0000-0000-0000BA130000}"/>
    <cellStyle name="원_작업02_08" xfId="4835" xr:uid="{00000000-0005-0000-0000-0000BB130000}"/>
    <cellStyle name="원_작업일보(월정)" xfId="4836" xr:uid="{00000000-0005-0000-0000-0000BC130000}"/>
    <cellStyle name="원_점리내역" xfId="4837" xr:uid="{00000000-0005-0000-0000-0000BD130000}"/>
    <cellStyle name="원_정산내역서1" xfId="4838" xr:uid="{00000000-0005-0000-0000-0000BE130000}"/>
    <cellStyle name="원_정산변경" xfId="4839" xr:uid="{00000000-0005-0000-0000-0000BF130000}"/>
    <cellStyle name="원_제경비율모음" xfId="4840" xr:uid="{00000000-0005-0000-0000-0000C0130000}"/>
    <cellStyle name="원_제당토적표" xfId="4841" xr:uid="{00000000-0005-0000-0000-0000C1130000}"/>
    <cellStyle name="원_제조원가" xfId="4842" xr:uid="{00000000-0005-0000-0000-0000C2130000}"/>
    <cellStyle name="원_조달청-B판사천강교제작(최종본)" xfId="4851" xr:uid="{00000000-0005-0000-0000-0000C3130000}"/>
    <cellStyle name="원_조달청-대북지원3차(최수현)" xfId="4843" xr:uid="{00000000-0005-0000-0000-0000C4130000}"/>
    <cellStyle name="원_조달청-대북지원4차(최수현)" xfId="4844" xr:uid="{00000000-0005-0000-0000-0000C5130000}"/>
    <cellStyle name="원_조달청-대북지원5차(최수현)" xfId="4845" xr:uid="{00000000-0005-0000-0000-0000C6130000}"/>
    <cellStyle name="원_조달청-대북지원6차(번호)" xfId="4846" xr:uid="{00000000-0005-0000-0000-0000C7130000}"/>
    <cellStyle name="원_조달청-대북지원6차(최수현)" xfId="4847" xr:uid="{00000000-0005-0000-0000-0000C8130000}"/>
    <cellStyle name="원_조달청-대북지원7차(최수현)" xfId="4848" xr:uid="{00000000-0005-0000-0000-0000C9130000}"/>
    <cellStyle name="원_조달청-대북지원8차(최수현)" xfId="4849" xr:uid="{00000000-0005-0000-0000-0000CA130000}"/>
    <cellStyle name="원_조달청-대북지원9차(최수현)" xfId="4850" xr:uid="{00000000-0005-0000-0000-0000CB130000}"/>
    <cellStyle name="원_중부지역본부-" xfId="4852" xr:uid="{00000000-0005-0000-0000-0000CC130000}"/>
    <cellStyle name="원_중앙선관위(투표,개표)" xfId="4853" xr:uid="{00000000-0005-0000-0000-0000CD130000}"/>
    <cellStyle name="원_중앙선관위(투표,개표)_강원지역본부(2006년_060109)" xfId="4854" xr:uid="{00000000-0005-0000-0000-0000CE130000}"/>
    <cellStyle name="원_중앙선관위(투표,개표)_경남지역본부-" xfId="4855" xr:uid="{00000000-0005-0000-0000-0000CF130000}"/>
    <cellStyle name="원_중앙선관위(투표,개표)_경북지역본부-" xfId="4856" xr:uid="{00000000-0005-0000-0000-0000D0130000}"/>
    <cellStyle name="원_중앙선관위(투표,개표)_중부지역본부-" xfId="4857" xr:uid="{00000000-0005-0000-0000-0000D1130000}"/>
    <cellStyle name="원_중앙선관위(투표,개표)_충청지역본부-" xfId="4858" xr:uid="{00000000-0005-0000-0000-0000D2130000}"/>
    <cellStyle name="원_중앙선관위(투표,개표)_통행료면탈방지시스템(최종)" xfId="4859" xr:uid="{00000000-0005-0000-0000-0000D3130000}"/>
    <cellStyle name="원_중앙선관위(투표,개표)_호남지역본부-" xfId="4860" xr:uid="{00000000-0005-0000-0000-0000D4130000}"/>
    <cellStyle name="원_중앙선관위(투표,개표)-사본" xfId="4861" xr:uid="{00000000-0005-0000-0000-0000D5130000}"/>
    <cellStyle name="원_집계표" xfId="4862" xr:uid="{00000000-0005-0000-0000-0000D6130000}"/>
    <cellStyle name="원_창봉지급자재단가" xfId="4863" xr:uid="{00000000-0005-0000-0000-0000D7130000}"/>
    <cellStyle name="원_철공가공조립" xfId="4864" xr:uid="{00000000-0005-0000-0000-0000D8130000}"/>
    <cellStyle name="원_최종-한국전기교통-개선형신호등 4종(공수조정)" xfId="4865" xr:uid="{00000000-0005-0000-0000-0000D9130000}"/>
    <cellStyle name="원_최종-한국전기교통-개선형신호등 4종(공수조정)_강원지역본부(2006년_060109)" xfId="4866" xr:uid="{00000000-0005-0000-0000-0000DA130000}"/>
    <cellStyle name="원_최종-한국전기교통-개선형신호등 4종(공수조정)_경남지역본부-" xfId="4867" xr:uid="{00000000-0005-0000-0000-0000DB130000}"/>
    <cellStyle name="원_최종-한국전기교통-개선형신호등 4종(공수조정)_경북지역본부-" xfId="4868" xr:uid="{00000000-0005-0000-0000-0000DC130000}"/>
    <cellStyle name="원_최종-한국전기교통-개선형신호등 4종(공수조정)_중부지역본부-" xfId="4869" xr:uid="{00000000-0005-0000-0000-0000DD130000}"/>
    <cellStyle name="원_최종-한국전기교통-개선형신호등 4종(공수조정)_충청지역본부-" xfId="4870" xr:uid="{00000000-0005-0000-0000-0000DE130000}"/>
    <cellStyle name="원_최종-한국전기교통-개선형신호등 4종(공수조정)_통행료면탈방지시스템(최종)" xfId="4871" xr:uid="{00000000-0005-0000-0000-0000DF130000}"/>
    <cellStyle name="원_최종-한국전기교통-개선형신호등 4종(공수조정)_호남지역본부-" xfId="4872" xr:uid="{00000000-0005-0000-0000-0000E0130000}"/>
    <cellStyle name="원_충청지역본부-" xfId="4873" xr:uid="{00000000-0005-0000-0000-0000E1130000}"/>
    <cellStyle name="원_코솔라-제조원가" xfId="4874" xr:uid="{00000000-0005-0000-0000-0000E2130000}"/>
    <cellStyle name="원_토적계산표재료집계표" xfId="4875" xr:uid="{00000000-0005-0000-0000-0000E3130000}"/>
    <cellStyle name="원_토적계산표재료집계표_2000토적및재료집계표2" xfId="4876" xr:uid="{00000000-0005-0000-0000-0000E4130000}"/>
    <cellStyle name="원_토적계산표재료집계표_2000토적및집계표" xfId="4877" xr:uid="{00000000-0005-0000-0000-0000E5130000}"/>
    <cellStyle name="원_토지공사-간접비" xfId="4878" xr:uid="{00000000-0005-0000-0000-0000E6130000}"/>
    <cellStyle name="원_통행료면탈방지시스템(최종)" xfId="4879" xr:uid="{00000000-0005-0000-0000-0000E7130000}"/>
    <cellStyle name="원_표지,갑지-헌병중대생활관(전기)" xfId="2234" xr:uid="{00000000-0005-0000-0000-0000E8130000}"/>
    <cellStyle name="원_한국도로공사" xfId="4880" xr:uid="{00000000-0005-0000-0000-0000E9130000}"/>
    <cellStyle name="원_한전내역서-최종" xfId="4881" xr:uid="{00000000-0005-0000-0000-0000EA130000}"/>
    <cellStyle name="원_합판거푸집" xfId="4882" xr:uid="{00000000-0005-0000-0000-0000EB130000}"/>
    <cellStyle name="원_해보시장-수정최종" xfId="4883" xr:uid="{00000000-0005-0000-0000-0000EC130000}"/>
    <cellStyle name="원_호남지역본부-" xfId="4884" xr:uid="{00000000-0005-0000-0000-0000ED130000}"/>
    <cellStyle name="유1" xfId="2235" xr:uid="{00000000-0005-0000-0000-0000EE130000}"/>
    <cellStyle name="유영" xfId="2236" xr:uid="{00000000-0005-0000-0000-0000EF130000}"/>
    <cellStyle name="이천칠백이십삼만육천원정" xfId="4892" xr:uid="{00000000-0005-0000-0000-0000F0130000}"/>
    <cellStyle name="인원" xfId="2237" xr:uid="{00000000-0005-0000-0000-0000F1130000}"/>
    <cellStyle name="인원1" xfId="2238" xr:uid="{00000000-0005-0000-0000-0000F2130000}"/>
    <cellStyle name="一般_~0059528" xfId="4893" xr:uid="{00000000-0005-0000-0000-0000F3130000}"/>
    <cellStyle name="일위대가" xfId="2239" xr:uid="{00000000-0005-0000-0000-0000F4130000}"/>
    <cellStyle name="자리수" xfId="2240" xr:uid="{00000000-0005-0000-0000-0000F5130000}"/>
    <cellStyle name="자리수 2" xfId="4894" xr:uid="{00000000-0005-0000-0000-0000F6130000}"/>
    <cellStyle name="자리수 3" xfId="4895" xr:uid="{00000000-0005-0000-0000-0000F7130000}"/>
    <cellStyle name="자리수 4" xfId="4896" xr:uid="{00000000-0005-0000-0000-0000F8130000}"/>
    <cellStyle name="자리수_공량산출서-구조물" xfId="4897" xr:uid="{00000000-0005-0000-0000-0000F9130000}"/>
    <cellStyle name="자리수0" xfId="2241" xr:uid="{00000000-0005-0000-0000-0000FA130000}"/>
    <cellStyle name="자리수0 2" xfId="4898" xr:uid="{00000000-0005-0000-0000-0000FB130000}"/>
    <cellStyle name="자리수0 3" xfId="4899" xr:uid="{00000000-0005-0000-0000-0000FC130000}"/>
    <cellStyle name="자리수0 4" xfId="4900" xr:uid="{00000000-0005-0000-0000-0000FD130000}"/>
    <cellStyle name="자리수0_공량산출서-구조물" xfId="4901" xr:uid="{00000000-0005-0000-0000-0000FE130000}"/>
    <cellStyle name="작업량" xfId="2242" xr:uid="{00000000-0005-0000-0000-0000FF130000}"/>
    <cellStyle name="점선" xfId="4902" xr:uid="{00000000-0005-0000-0000-000000140000}"/>
    <cellStyle name="정렬" xfId="4903" xr:uid="{00000000-0005-0000-0000-000001140000}"/>
    <cellStyle name="정렬범위" xfId="4904" xr:uid="{00000000-0005-0000-0000-000002140000}"/>
    <cellStyle name="제목 5 2" xfId="4905" xr:uid="{00000000-0005-0000-0000-000003140000}"/>
    <cellStyle name="제목 6 2" xfId="4906" xr:uid="{00000000-0005-0000-0000-000004140000}"/>
    <cellStyle name="제목 7 2" xfId="4907" xr:uid="{00000000-0005-0000-0000-000005140000}"/>
    <cellStyle name="제목[1 줄]" xfId="2243" xr:uid="{00000000-0005-0000-0000-000006140000}"/>
    <cellStyle name="제목[2줄 아래]" xfId="2244" xr:uid="{00000000-0005-0000-0000-000007140000}"/>
    <cellStyle name="제목[2줄 위]" xfId="2245" xr:uid="{00000000-0005-0000-0000-000008140000}"/>
    <cellStyle name="제목1" xfId="2246" xr:uid="{00000000-0005-0000-0000-000009140000}"/>
    <cellStyle name="제목2" xfId="4908" xr:uid="{00000000-0005-0000-0000-00000A140000}"/>
    <cellStyle name="제목3" xfId="4909" xr:uid="{00000000-0005-0000-0000-00000B140000}"/>
    <cellStyle name="중요" xfId="4910" xr:uid="{00000000-0005-0000-0000-00000C140000}"/>
    <cellStyle name="지정되지 않음" xfId="2247" xr:uid="{00000000-0005-0000-0000-00000D140000}"/>
    <cellStyle name="지하철정렬" xfId="4911" xr:uid="{00000000-0005-0000-0000-00000E140000}"/>
    <cellStyle name="집계" xfId="2248" xr:uid="{00000000-0005-0000-0000-00000F140000}"/>
    <cellStyle name="千分位[0]_污水處理新建工程" xfId="4912" xr:uid="{00000000-0005-0000-0000-000010140000}"/>
    <cellStyle name="千分位_鈷算表" xfId="4913" xr:uid="{00000000-0005-0000-0000-000011140000}"/>
    <cellStyle name="千位分隔[0]_CHAGEBOO" xfId="4914" xr:uid="{00000000-0005-0000-0000-000012140000}"/>
    <cellStyle name="체적(0)" xfId="2249" xr:uid="{00000000-0005-0000-0000-000013140000}"/>
    <cellStyle name="체적(1)" xfId="2250" xr:uid="{00000000-0005-0000-0000-000014140000}"/>
    <cellStyle name="체적(2)" xfId="2251" xr:uid="{00000000-0005-0000-0000-000015140000}"/>
    <cellStyle name="측점" xfId="2252" xr:uid="{00000000-0005-0000-0000-000016140000}"/>
    <cellStyle name="코드" xfId="2253" xr:uid="{00000000-0005-0000-0000-000017140000}"/>
    <cellStyle name="콤" xfId="2254" xr:uid="{00000000-0005-0000-0000-000018140000}"/>
    <cellStyle name="콤 2" xfId="5182" xr:uid="{00000000-0005-0000-0000-000019140000}"/>
    <cellStyle name="콤냡?&lt;_x000f_$??: `1_1 " xfId="4915" xr:uid="{00000000-0005-0000-0000-00001A140000}"/>
    <cellStyle name="콤마" xfId="2255" xr:uid="{00000000-0005-0000-0000-00001B140000}"/>
    <cellStyle name="콤마 [" xfId="2256" xr:uid="{00000000-0005-0000-0000-00001C140000}"/>
    <cellStyle name="콤마 [ 2" xfId="5183" xr:uid="{00000000-0005-0000-0000-00001D140000}"/>
    <cellStyle name="콤마 [#]" xfId="2257" xr:uid="{00000000-0005-0000-0000-00001E140000}"/>
    <cellStyle name="콤마 []" xfId="2258" xr:uid="{00000000-0005-0000-0000-00001F140000}"/>
    <cellStyle name="콤마 [0]" xfId="2259" xr:uid="{00000000-0005-0000-0000-000020140000}"/>
    <cellStyle name="'콤마 [0]'" xfId="4916" xr:uid="{00000000-0005-0000-0000-000021140000}"/>
    <cellStyle name="콤마 [0] 10" xfId="5153" xr:uid="{00000000-0005-0000-0000-000022140000}"/>
    <cellStyle name="콤마 [0] 10 2" xfId="5281" xr:uid="{00000000-0005-0000-0000-000023140000}"/>
    <cellStyle name="콤마 [0] 11" xfId="5214" xr:uid="{00000000-0005-0000-0000-000024140000}"/>
    <cellStyle name="콤마 [0] 11 2" xfId="5314" xr:uid="{00000000-0005-0000-0000-000025140000}"/>
    <cellStyle name="콤마 [0] 12" xfId="5154" xr:uid="{00000000-0005-0000-0000-000026140000}"/>
    <cellStyle name="콤마 [0] 12 2" xfId="5282" xr:uid="{00000000-0005-0000-0000-000027140000}"/>
    <cellStyle name="콤마 [0] 13" xfId="5206" xr:uid="{00000000-0005-0000-0000-000028140000}"/>
    <cellStyle name="콤마 [0] 13 2" xfId="5307" xr:uid="{00000000-0005-0000-0000-000029140000}"/>
    <cellStyle name="콤마 [0] 14" xfId="5152" xr:uid="{00000000-0005-0000-0000-00002A140000}"/>
    <cellStyle name="콤마 [0] 14 2" xfId="5280" xr:uid="{00000000-0005-0000-0000-00002B140000}"/>
    <cellStyle name="콤마 [0] 15" xfId="5150" xr:uid="{00000000-0005-0000-0000-00002C140000}"/>
    <cellStyle name="콤마 [0] 15 2" xfId="5279" xr:uid="{00000000-0005-0000-0000-00002D140000}"/>
    <cellStyle name="콤마 [0] 16" xfId="5159" xr:uid="{00000000-0005-0000-0000-00002E140000}"/>
    <cellStyle name="콤마 [0] 16 2" xfId="5283" xr:uid="{00000000-0005-0000-0000-00002F140000}"/>
    <cellStyle name="콤마 [0] 17" xfId="5160" xr:uid="{00000000-0005-0000-0000-000030140000}"/>
    <cellStyle name="콤마 [0] 17 2" xfId="5284" xr:uid="{00000000-0005-0000-0000-000031140000}"/>
    <cellStyle name="콤마 [0] 18" xfId="5265" xr:uid="{00000000-0005-0000-0000-000032140000}"/>
    <cellStyle name="콤마 [0] 2" xfId="5184" xr:uid="{00000000-0005-0000-0000-000033140000}"/>
    <cellStyle name="콤마 [0] 2 2" xfId="5302" xr:uid="{00000000-0005-0000-0000-000034140000}"/>
    <cellStyle name="콤마 [0] 3" xfId="5202" xr:uid="{00000000-0005-0000-0000-000035140000}"/>
    <cellStyle name="콤마 [0] 3 2" xfId="5305" xr:uid="{00000000-0005-0000-0000-000036140000}"/>
    <cellStyle name="콤마 [0] 4" xfId="5207" xr:uid="{00000000-0005-0000-0000-000037140000}"/>
    <cellStyle name="콤마 [0] 4 2" xfId="5308" xr:uid="{00000000-0005-0000-0000-000038140000}"/>
    <cellStyle name="콤마 [0] 5" xfId="5149" xr:uid="{00000000-0005-0000-0000-000039140000}"/>
    <cellStyle name="콤마 [0] 5 2" xfId="5278" xr:uid="{00000000-0005-0000-0000-00003A140000}"/>
    <cellStyle name="콤마 [0] 6" xfId="5198" xr:uid="{00000000-0005-0000-0000-00003B140000}"/>
    <cellStyle name="콤마 [0] 6 2" xfId="5304" xr:uid="{00000000-0005-0000-0000-00003C140000}"/>
    <cellStyle name="콤마 [0] 7" xfId="5204" xr:uid="{00000000-0005-0000-0000-00003D140000}"/>
    <cellStyle name="콤마 [0] 7 2" xfId="5306" xr:uid="{00000000-0005-0000-0000-00003E140000}"/>
    <cellStyle name="콤마 [0] 8" xfId="5188" xr:uid="{00000000-0005-0000-0000-00003F140000}"/>
    <cellStyle name="콤마 [0] 8 2" xfId="5303" xr:uid="{00000000-0005-0000-0000-000040140000}"/>
    <cellStyle name="콤마 [0] 9" xfId="5218" xr:uid="{00000000-0005-0000-0000-000041140000}"/>
    <cellStyle name="콤마 [0] 9 2" xfId="5318" xr:uid="{00000000-0005-0000-0000-000042140000}"/>
    <cellStyle name="콤마 [0]_  종  합  " xfId="4917" xr:uid="{00000000-0005-0000-0000-000043140000}"/>
    <cellStyle name="콤마 [0]_5.광고동향" xfId="2260" xr:uid="{00000000-0005-0000-0000-000044140000}"/>
    <cellStyle name="'콤마 [0]'_상수도" xfId="4918" xr:uid="{00000000-0005-0000-0000-000045140000}"/>
    <cellStyle name="콤마 [0]_설계내역서(건)" xfId="2261" xr:uid="{00000000-0005-0000-0000-000046140000}"/>
    <cellStyle name="'콤마 [0]'_해보시장-수정최종" xfId="4919" xr:uid="{00000000-0005-0000-0000-000047140000}"/>
    <cellStyle name="콤마 [0]기기자재비" xfId="4920" xr:uid="{00000000-0005-0000-0000-000048140000}"/>
    <cellStyle name="콤마 [1]" xfId="2262" xr:uid="{00000000-0005-0000-0000-000049140000}"/>
    <cellStyle name="콤마 [2]" xfId="2263" xr:uid="{00000000-0005-0000-0000-00004A140000}"/>
    <cellStyle name="콤마 [3]" xfId="2264" xr:uid="{00000000-0005-0000-0000-00004B140000}"/>
    <cellStyle name="콤마 [금액]" xfId="2265" xr:uid="{00000000-0005-0000-0000-00004C140000}"/>
    <cellStyle name="콤마 [소수]" xfId="2266" xr:uid="{00000000-0005-0000-0000-00004D140000}"/>
    <cellStyle name="콤마 [수량]" xfId="2267" xr:uid="{00000000-0005-0000-0000-00004E140000}"/>
    <cellStyle name="콤마(0)" xfId="2268" xr:uid="{00000000-0005-0000-0000-00004F140000}"/>
    <cellStyle name="콤마(1)" xfId="2269" xr:uid="{00000000-0005-0000-0000-000050140000}"/>
    <cellStyle name="콤마(2)" xfId="2270" xr:uid="{00000000-0005-0000-0000-000051140000}"/>
    <cellStyle name="콤마(20)" xfId="2271" xr:uid="{00000000-0005-0000-0000-000052140000}"/>
    <cellStyle name="콤마(3)" xfId="2272" xr:uid="{00000000-0005-0000-0000-000053140000}"/>
    <cellStyle name="콤마[ ]" xfId="2273" xr:uid="{00000000-0005-0000-0000-000054140000}"/>
    <cellStyle name="콤마[*]" xfId="2274" xr:uid="{00000000-0005-0000-0000-000055140000}"/>
    <cellStyle name="콤마[.]" xfId="2275" xr:uid="{00000000-0005-0000-0000-000056140000}"/>
    <cellStyle name="콤마[0]" xfId="2276" xr:uid="{00000000-0005-0000-0000-000057140000}"/>
    <cellStyle name="콤마[0] 2" xfId="4921" xr:uid="{00000000-0005-0000-0000-000058140000}"/>
    <cellStyle name="콤마[0] 3" xfId="4922" xr:uid="{00000000-0005-0000-0000-000059140000}"/>
    <cellStyle name="콤마[0] 4" xfId="4923" xr:uid="{00000000-0005-0000-0000-00005A140000}"/>
    <cellStyle name="콤마[0]_공량산출서-구조물" xfId="4924" xr:uid="{00000000-0005-0000-0000-00005B140000}"/>
    <cellStyle name="콤마_  종  합  " xfId="2277" xr:uid="{00000000-0005-0000-0000-00005C140000}"/>
    <cellStyle name="콤마宛 " xfId="4926" xr:uid="{00000000-0005-0000-0000-00005D140000}"/>
    <cellStyle name="콤마桓?琉?업종별 " xfId="4927" xr:uid="{00000000-0005-0000-0000-00005E140000}"/>
    <cellStyle name="콤마쇔[0]_대총괄표 " xfId="4925" xr:uid="{00000000-0005-0000-0000-00005F140000}"/>
    <cellStyle name="콤막 [0]_수출실적 _양식98" xfId="2278" xr:uid="{00000000-0005-0000-0000-000060140000}"/>
    <cellStyle name="큐준_주택수주_주택용지_1" xfId="4928" xr:uid="{00000000-0005-0000-0000-000061140000}"/>
    <cellStyle name="톤" xfId="2279" xr:uid="{00000000-0005-0000-0000-000062140000}"/>
    <cellStyle name="통" xfId="2280" xr:uid="{00000000-0005-0000-0000-000063140000}"/>
    <cellStyle name="통 2" xfId="5185" xr:uid="{00000000-0005-0000-0000-000064140000}"/>
    <cellStyle name="통화 [" xfId="2281" xr:uid="{00000000-0005-0000-0000-000065140000}"/>
    <cellStyle name="통화 [ 2" xfId="5186" xr:uid="{00000000-0005-0000-0000-000066140000}"/>
    <cellStyle name="통화 [0_x000f_" xfId="4929" xr:uid="{00000000-0005-0000-0000-000067140000}"/>
    <cellStyle name="通貨 [0.00]_laroux" xfId="4930" xr:uid="{00000000-0005-0000-0000-000068140000}"/>
    <cellStyle name="통화 [0]" xfId="2282" builtinId="7"/>
    <cellStyle name="통화 [0] 2" xfId="4931" xr:uid="{00000000-0005-0000-0000-00006A140000}"/>
    <cellStyle name="통화 [0] 3" xfId="5140" xr:uid="{00000000-0005-0000-0000-00006B140000}"/>
    <cellStyle name="통화 [0] 3 2" xfId="5217" xr:uid="{00000000-0005-0000-0000-00006C140000}"/>
    <cellStyle name="통화 [0] 3 2 2" xfId="5317" xr:uid="{00000000-0005-0000-0000-00006D140000}"/>
    <cellStyle name="통화 [0] 3 3" xfId="5147" xr:uid="{00000000-0005-0000-0000-00006E140000}"/>
    <cellStyle name="통화 [0] 3 3 2" xfId="5239" xr:uid="{00000000-0005-0000-0000-00006F140000}"/>
    <cellStyle name="통화 [0] 3 3 3" xfId="5277" xr:uid="{00000000-0005-0000-0000-000070140000}"/>
    <cellStyle name="통화 [0] 4" xfId="5266" xr:uid="{00000000-0005-0000-0000-000071140000}"/>
    <cellStyle name="통화 [0] usd" xfId="4932" xr:uid="{00000000-0005-0000-0000-000072140000}"/>
    <cellStyle name="通貨_laroux" xfId="4933" xr:uid="{00000000-0005-0000-0000-000073140000}"/>
    <cellStyle name="퍼센트" xfId="2283" xr:uid="{00000000-0005-0000-0000-000074140000}"/>
    <cellStyle name="퍼센트 2" xfId="4934" xr:uid="{00000000-0005-0000-0000-000075140000}"/>
    <cellStyle name="퍼센트 3" xfId="4935" xr:uid="{00000000-0005-0000-0000-000076140000}"/>
    <cellStyle name="퍼센트 4" xfId="4936" xr:uid="{00000000-0005-0000-0000-000077140000}"/>
    <cellStyle name="퍼센트_공량산출서-구조물" xfId="4937" xr:uid="{00000000-0005-0000-0000-000078140000}"/>
    <cellStyle name="표" xfId="2284" xr:uid="{00000000-0005-0000-0000-000079140000}"/>
    <cellStyle name="표 2" xfId="5187" xr:uid="{00000000-0005-0000-0000-00007A140000}"/>
    <cellStyle name="表示済みのハイパーリンク" xfId="2285" xr:uid="{00000000-0005-0000-0000-00007B140000}"/>
    <cellStyle name="표제목" xfId="4938" xr:uid="{00000000-0005-0000-0000-00007C140000}"/>
    <cellStyle name="標題說明" xfId="4939" xr:uid="{00000000-0005-0000-0000-00007D140000}"/>
    <cellStyle name="표준" xfId="0" builtinId="0"/>
    <cellStyle name="표준 10" xfId="4940" xr:uid="{00000000-0005-0000-0000-00007F140000}"/>
    <cellStyle name="표준 11" xfId="5137" xr:uid="{00000000-0005-0000-0000-000080140000}"/>
    <cellStyle name="표준 11 2" xfId="5219" xr:uid="{00000000-0005-0000-0000-000081140000}"/>
    <cellStyle name="표준 11 2 2" xfId="5237" xr:uid="{00000000-0005-0000-0000-000082140000}"/>
    <cellStyle name="표준 11 3" xfId="5227" xr:uid="{00000000-0005-0000-0000-000083140000}"/>
    <cellStyle name="표준 11 4" xfId="5244" xr:uid="{00000000-0005-0000-0000-000084140000}"/>
    <cellStyle name="표준 11 5" xfId="5240" xr:uid="{00000000-0005-0000-0000-000085140000}"/>
    <cellStyle name="표준 11 5 2" xfId="5324" xr:uid="{00000000-0005-0000-0000-000086140000}"/>
    <cellStyle name="표준 12" xfId="5221" xr:uid="{00000000-0005-0000-0000-000087140000}"/>
    <cellStyle name="표준 12 2" xfId="5245" xr:uid="{00000000-0005-0000-0000-000088140000}"/>
    <cellStyle name="표준 12 3" xfId="5241" xr:uid="{00000000-0005-0000-0000-000089140000}"/>
    <cellStyle name="표준 12 3 2" xfId="5325" xr:uid="{00000000-0005-0000-0000-00008A140000}"/>
    <cellStyle name="표준 13" xfId="5222" xr:uid="{00000000-0005-0000-0000-00008B140000}"/>
    <cellStyle name="표준 14" xfId="5231" xr:uid="{00000000-0005-0000-0000-00008C140000}"/>
    <cellStyle name="표준 15" xfId="5224" xr:uid="{00000000-0005-0000-0000-00008D140000}"/>
    <cellStyle name="표준 16" xfId="5228" xr:uid="{00000000-0005-0000-0000-00008E140000}"/>
    <cellStyle name="표준 19" xfId="4941" xr:uid="{00000000-0005-0000-0000-00008F140000}"/>
    <cellStyle name="표준 2" xfId="2286" xr:uid="{00000000-0005-0000-0000-000090140000}"/>
    <cellStyle name="표준 2 2" xfId="2287" xr:uid="{00000000-0005-0000-0000-000091140000}"/>
    <cellStyle name="표준 2_1.금천중 냉난방내역" xfId="4942" xr:uid="{00000000-0005-0000-0000-000092140000}"/>
    <cellStyle name="표준 23" xfId="5235" xr:uid="{00000000-0005-0000-0000-000093140000}"/>
    <cellStyle name="표준 3" xfId="4943" xr:uid="{00000000-0005-0000-0000-000094140000}"/>
    <cellStyle name="표준 3 2" xfId="5229" xr:uid="{00000000-0005-0000-0000-000095140000}"/>
    <cellStyle name="표준 3 2 2" xfId="5246" xr:uid="{00000000-0005-0000-0000-000096140000}"/>
    <cellStyle name="표준 3 2 3" xfId="5242" xr:uid="{00000000-0005-0000-0000-000097140000}"/>
    <cellStyle name="표준 4" xfId="2288" xr:uid="{00000000-0005-0000-0000-000098140000}"/>
    <cellStyle name="표준 4 2" xfId="5243" xr:uid="{00000000-0005-0000-0000-000099140000}"/>
    <cellStyle name="표준 5" xfId="4944" xr:uid="{00000000-0005-0000-0000-00009A140000}"/>
    <cellStyle name="표준 6" xfId="4945" xr:uid="{00000000-0005-0000-0000-00009B140000}"/>
    <cellStyle name="표준 7" xfId="4946" xr:uid="{00000000-0005-0000-0000-00009C140000}"/>
    <cellStyle name="표준 8" xfId="4947" xr:uid="{00000000-0005-0000-0000-00009D140000}"/>
    <cellStyle name="표준 9" xfId="4948" xr:uid="{00000000-0005-0000-0000-00009E140000}"/>
    <cellStyle name="標準_ ｹ-ﾌﾞﾙ物量(B)" xfId="4949" xr:uid="{00000000-0005-0000-0000-00009F140000}"/>
    <cellStyle name="표준_(치료)1111111" xfId="2289" xr:uid="{00000000-0005-0000-0000-0000A0140000}"/>
    <cellStyle name="표준_4.단가대비표" xfId="2290" xr:uid="{00000000-0005-0000-0000-0000A1140000}"/>
    <cellStyle name="標準_Akia(F）-8" xfId="2302" xr:uid="{00000000-0005-0000-0000-0000A2140000}"/>
    <cellStyle name="표준_단가산출서(최종)" xfId="2291" xr:uid="{00000000-0005-0000-0000-0000A3140000}"/>
    <cellStyle name="표준_동평중" xfId="2292" xr:uid="{00000000-0005-0000-0000-0000A4140000}"/>
    <cellStyle name="표준_마현산내역서" xfId="2293" xr:uid="{00000000-0005-0000-0000-0000A5140000}"/>
    <cellStyle name="표준_무역(재주작업)" xfId="2294" xr:uid="{00000000-0005-0000-0000-0000A6140000}"/>
    <cellStyle name="표준_문화창작-전기원가및표지" xfId="2295" xr:uid="{00000000-0005-0000-0000-0000A7140000}"/>
    <cellStyle name="표준_방송내역서(2001)" xfId="2296" xr:uid="{00000000-0005-0000-0000-0000A8140000}"/>
    <cellStyle name="표준_보고서" xfId="2297" xr:uid="{00000000-0005-0000-0000-0000A9140000}"/>
    <cellStyle name="표준_분전반관급" xfId="2298" xr:uid="{00000000-0005-0000-0000-0000AA140000}"/>
    <cellStyle name="표준_설계내역서(건)" xfId="2299" xr:uid="{00000000-0005-0000-0000-0000AB140000}"/>
    <cellStyle name="표준_성산고전기" xfId="2300" xr:uid="{00000000-0005-0000-0000-0000AC140000}"/>
    <cellStyle name="표준_자탐공사" xfId="2301" xr:uid="{00000000-0005-0000-0000-0000AD140000}"/>
    <cellStyle name="표준1" xfId="2303" xr:uid="{00000000-0005-0000-0000-0000AE140000}"/>
    <cellStyle name="표준2" xfId="2304" xr:uid="{00000000-0005-0000-0000-0000AF140000}"/>
    <cellStyle name="표준날짜" xfId="4950" xr:uid="{00000000-0005-0000-0000-0000B0140000}"/>
    <cellStyle name="표준숫자" xfId="4951" xr:uid="{00000000-0005-0000-0000-0000B1140000}"/>
    <cellStyle name="표쥰" xfId="4952" xr:uid="{00000000-0005-0000-0000-0000B2140000}"/>
    <cellStyle name="퓭닉_Eval(1 of 7)-BASE" xfId="4953" xr:uid="{00000000-0005-0000-0000-0000B3140000}"/>
    <cellStyle name="합계" xfId="2305" xr:uid="{00000000-0005-0000-0000-0000B4140000}"/>
    <cellStyle name="합산" xfId="2306" xr:uid="{00000000-0005-0000-0000-0000B5140000}"/>
    <cellStyle name="합산 2" xfId="4954" xr:uid="{00000000-0005-0000-0000-0000B6140000}"/>
    <cellStyle name="합산 3" xfId="4955" xr:uid="{00000000-0005-0000-0000-0000B7140000}"/>
    <cellStyle name="합산 4" xfId="4956" xr:uid="{00000000-0005-0000-0000-0000B8140000}"/>
    <cellStyle name="합산_공량산출서-구조물" xfId="4957" xr:uid="{00000000-0005-0000-0000-0000B9140000}"/>
    <cellStyle name="桁区切り [0.00]_laroux" xfId="4959" xr:uid="{00000000-0005-0000-0000-0000BA140000}"/>
    <cellStyle name="桁区切り_laroux" xfId="4960" xr:uid="{00000000-0005-0000-0000-0000BB140000}"/>
    <cellStyle name="항목" xfId="4958" xr:uid="{00000000-0005-0000-0000-0000BC140000}"/>
    <cellStyle name="垓" xfId="4961" xr:uid="{00000000-0005-0000-0000-0000BD140000}"/>
    <cellStyle name="해동양식" xfId="2307" xr:uid="{00000000-0005-0000-0000-0000BE140000}"/>
    <cellStyle name="貨幣 [0]_污水處理新建工程" xfId="4962" xr:uid="{00000000-0005-0000-0000-0000BF140000}"/>
    <cellStyle name="貨幣[0]_CT-1" xfId="4963" xr:uid="{00000000-0005-0000-0000-0000C0140000}"/>
    <cellStyle name="貨幣_CT-1" xfId="4964" xr:uid="{00000000-0005-0000-0000-0000C1140000}"/>
    <cellStyle name="화폐기호" xfId="2308" xr:uid="{00000000-0005-0000-0000-0000C2140000}"/>
    <cellStyle name="화폐기호 2" xfId="4965" xr:uid="{00000000-0005-0000-0000-0000C3140000}"/>
    <cellStyle name="화폐기호 3" xfId="4966" xr:uid="{00000000-0005-0000-0000-0000C4140000}"/>
    <cellStyle name="화폐기호 4" xfId="4967" xr:uid="{00000000-0005-0000-0000-0000C5140000}"/>
    <cellStyle name="화폐기호_공량산출서-구조물" xfId="4968" xr:uid="{00000000-0005-0000-0000-0000C6140000}"/>
    <cellStyle name="화폐기호0" xfId="2309" xr:uid="{00000000-0005-0000-0000-0000C7140000}"/>
    <cellStyle name="화폐기호0 2" xfId="4969" xr:uid="{00000000-0005-0000-0000-0000C8140000}"/>
    <cellStyle name="화폐기호0 3" xfId="4970" xr:uid="{00000000-0005-0000-0000-0000C9140000}"/>
    <cellStyle name="화폐기호0 4" xfId="4971" xr:uid="{00000000-0005-0000-0000-0000CA140000}"/>
    <cellStyle name="화폐기호0_공량산출서-구조물" xfId="4972" xr:uid="{00000000-0005-0000-0000-0000CB140000}"/>
    <cellStyle name="ㅣ" xfId="2223" xr:uid="{00000000-0005-0000-0000-0000CC140000}"/>
    <cellStyle name="ㅣ_산출서-작업부산물공제" xfId="2224" xr:uid="{00000000-0005-0000-0000-0000CD140000}"/>
  </cellStyles>
  <dxfs count="0"/>
  <tableStyles count="0" defaultTableStyle="TableStyleMedium9" defaultPivotStyle="PivotStyleLight16"/>
  <colors>
    <mruColors>
      <color rgb="FF2209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2.xml"/><Relationship Id="rId18" Type="http://schemas.openxmlformats.org/officeDocument/2006/relationships/worksheet" Target="worksheets/sheet17.xml"/><Relationship Id="rId26" Type="http://schemas.openxmlformats.org/officeDocument/2006/relationships/worksheet" Target="worksheets/sheet25.xml"/><Relationship Id="rId39" Type="http://schemas.openxmlformats.org/officeDocument/2006/relationships/worksheet" Target="worksheets/sheet38.xml"/><Relationship Id="rId21" Type="http://schemas.openxmlformats.org/officeDocument/2006/relationships/worksheet" Target="worksheets/sheet20.xml"/><Relationship Id="rId34" Type="http://schemas.openxmlformats.org/officeDocument/2006/relationships/worksheet" Target="worksheets/sheet33.xml"/><Relationship Id="rId42" Type="http://schemas.openxmlformats.org/officeDocument/2006/relationships/worksheet" Target="worksheets/sheet41.xml"/><Relationship Id="rId47" Type="http://schemas.openxmlformats.org/officeDocument/2006/relationships/worksheet" Target="worksheets/sheet46.xml"/><Relationship Id="rId50" Type="http://schemas.openxmlformats.org/officeDocument/2006/relationships/worksheet" Target="worksheets/sheet49.xml"/><Relationship Id="rId55" Type="http://schemas.openxmlformats.org/officeDocument/2006/relationships/calcChain" Target="calcChain.xml"/><Relationship Id="rId7" Type="http://schemas.openxmlformats.org/officeDocument/2006/relationships/worksheet" Target="worksheets/sheet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9" Type="http://schemas.openxmlformats.org/officeDocument/2006/relationships/worksheet" Target="worksheets/sheet28.xml"/><Relationship Id="rId11" Type="http://schemas.openxmlformats.org/officeDocument/2006/relationships/worksheet" Target="worksheets/sheet10.xml"/><Relationship Id="rId24" Type="http://schemas.openxmlformats.org/officeDocument/2006/relationships/worksheet" Target="worksheets/sheet23.xml"/><Relationship Id="rId32" Type="http://schemas.openxmlformats.org/officeDocument/2006/relationships/worksheet" Target="worksheets/sheet31.xml"/><Relationship Id="rId37" Type="http://schemas.openxmlformats.org/officeDocument/2006/relationships/worksheet" Target="worksheets/sheet36.xml"/><Relationship Id="rId40" Type="http://schemas.openxmlformats.org/officeDocument/2006/relationships/worksheet" Target="worksheets/sheet39.xml"/><Relationship Id="rId45" Type="http://schemas.openxmlformats.org/officeDocument/2006/relationships/worksheet" Target="worksheets/sheet44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9.xml"/><Relationship Id="rId19" Type="http://schemas.openxmlformats.org/officeDocument/2006/relationships/worksheet" Target="worksheets/sheet18.xml"/><Relationship Id="rId31" Type="http://schemas.openxmlformats.org/officeDocument/2006/relationships/worksheet" Target="worksheets/sheet30.xml"/><Relationship Id="rId44" Type="http://schemas.openxmlformats.org/officeDocument/2006/relationships/worksheet" Target="worksheets/sheet43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worksheet" Target="worksheets/sheet21.xml"/><Relationship Id="rId27" Type="http://schemas.openxmlformats.org/officeDocument/2006/relationships/worksheet" Target="worksheets/sheet26.xml"/><Relationship Id="rId30" Type="http://schemas.openxmlformats.org/officeDocument/2006/relationships/worksheet" Target="worksheets/sheet29.xml"/><Relationship Id="rId35" Type="http://schemas.openxmlformats.org/officeDocument/2006/relationships/worksheet" Target="worksheets/sheet34.xml"/><Relationship Id="rId43" Type="http://schemas.openxmlformats.org/officeDocument/2006/relationships/worksheet" Target="worksheets/sheet42.xml"/><Relationship Id="rId48" Type="http://schemas.openxmlformats.org/officeDocument/2006/relationships/worksheet" Target="worksheets/sheet47.xml"/><Relationship Id="rId56" Type="http://schemas.microsoft.com/office/2006/relationships/vbaProject" Target="vbaProject.bin"/><Relationship Id="rId8" Type="http://schemas.openxmlformats.org/officeDocument/2006/relationships/worksheet" Target="worksheets/sheet7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5" Type="http://schemas.openxmlformats.org/officeDocument/2006/relationships/worksheet" Target="worksheets/sheet24.xml"/><Relationship Id="rId33" Type="http://schemas.openxmlformats.org/officeDocument/2006/relationships/worksheet" Target="worksheets/sheet32.xml"/><Relationship Id="rId38" Type="http://schemas.openxmlformats.org/officeDocument/2006/relationships/worksheet" Target="worksheets/sheet37.xml"/><Relationship Id="rId46" Type="http://schemas.openxmlformats.org/officeDocument/2006/relationships/worksheet" Target="worksheets/sheet45.xml"/><Relationship Id="rId20" Type="http://schemas.openxmlformats.org/officeDocument/2006/relationships/worksheet" Target="worksheets/sheet19.xml"/><Relationship Id="rId41" Type="http://schemas.openxmlformats.org/officeDocument/2006/relationships/worksheet" Target="worksheets/sheet40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5" Type="http://schemas.openxmlformats.org/officeDocument/2006/relationships/worksheet" Target="worksheets/sheet14.xml"/><Relationship Id="rId23" Type="http://schemas.openxmlformats.org/officeDocument/2006/relationships/worksheet" Target="worksheets/sheet22.xml"/><Relationship Id="rId28" Type="http://schemas.openxmlformats.org/officeDocument/2006/relationships/worksheet" Target="worksheets/sheet27.xml"/><Relationship Id="rId36" Type="http://schemas.openxmlformats.org/officeDocument/2006/relationships/worksheet" Target="worksheets/sheet35.xml"/><Relationship Id="rId49" Type="http://schemas.openxmlformats.org/officeDocument/2006/relationships/worksheet" Target="worksheets/sheet4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0AA2-4D2C-BA9F-80B2CB9C9A96}"/>
            </c:ext>
          </c:extLst>
        </c:ser>
        <c:ser>
          <c:idx val="1"/>
          <c:order val="1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0AA2-4D2C-BA9F-80B2CB9C9A96}"/>
            </c:ext>
          </c:extLst>
        </c:ser>
        <c:ser>
          <c:idx val="2"/>
          <c:order val="2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2-0AA2-4D2C-BA9F-80B2CB9C9A96}"/>
            </c:ext>
          </c:extLst>
        </c:ser>
        <c:ser>
          <c:idx val="3"/>
          <c:order val="3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3-0AA2-4D2C-BA9F-80B2CB9C9A96}"/>
            </c:ext>
          </c:extLst>
        </c:ser>
        <c:ser>
          <c:idx val="4"/>
          <c:order val="4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4-0AA2-4D2C-BA9F-80B2CB9C9A96}"/>
            </c:ext>
          </c:extLst>
        </c:ser>
        <c:ser>
          <c:idx val="5"/>
          <c:order val="5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5-0AA2-4D2C-BA9F-80B2CB9C9A96}"/>
            </c:ext>
          </c:extLst>
        </c:ser>
        <c:ser>
          <c:idx val="6"/>
          <c:order val="6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6-0AA2-4D2C-BA9F-80B2CB9C9A96}"/>
            </c:ext>
          </c:extLst>
        </c:ser>
        <c:ser>
          <c:idx val="7"/>
          <c:order val="7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7-0AA2-4D2C-BA9F-80B2CB9C9A96}"/>
            </c:ext>
          </c:extLst>
        </c:ser>
        <c:ser>
          <c:idx val="8"/>
          <c:order val="8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8-0AA2-4D2C-BA9F-80B2CB9C9A96}"/>
            </c:ext>
          </c:extLst>
        </c:ser>
        <c:ser>
          <c:idx val="9"/>
          <c:order val="9"/>
          <c:invertIfNegative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9-0AA2-4D2C-BA9F-80B2CB9C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165288"/>
        <c:axId val="192165680"/>
      </c:barChart>
      <c:catAx>
        <c:axId val="192165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2165680"/>
        <c:crosses val="autoZero"/>
        <c:auto val="1"/>
        <c:lblAlgn val="ctr"/>
        <c:lblOffset val="100"/>
        <c:noMultiLvlLbl val="0"/>
      </c:catAx>
      <c:valAx>
        <c:axId val="192165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2165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657704239920002"/>
          <c:y val="0.51016949152542368"/>
          <c:w val="0.99172699069286452"/>
          <c:h val="0.91864406779661012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12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00000000-0008-0000-1700-000001080000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1700-000003080000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052" name="Text Box 4">
          <a:extLst>
            <a:ext uri="{FF2B5EF4-FFF2-40B4-BE49-F238E27FC236}">
              <a16:creationId xmlns:a16="http://schemas.microsoft.com/office/drawing/2014/main" id="{00000000-0008-0000-1700-000004080000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054" name="Text Box 6">
          <a:extLst>
            <a:ext uri="{FF2B5EF4-FFF2-40B4-BE49-F238E27FC236}">
              <a16:creationId xmlns:a16="http://schemas.microsoft.com/office/drawing/2014/main" id="{00000000-0008-0000-1700-000006080000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55" name="Text Box 7">
          <a:extLst>
            <a:ext uri="{FF2B5EF4-FFF2-40B4-BE49-F238E27FC236}">
              <a16:creationId xmlns:a16="http://schemas.microsoft.com/office/drawing/2014/main" id="{00000000-0008-0000-1700-000007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6" name="Text Box 8">
          <a:extLst>
            <a:ext uri="{FF2B5EF4-FFF2-40B4-BE49-F238E27FC236}">
              <a16:creationId xmlns:a16="http://schemas.microsoft.com/office/drawing/2014/main" id="{00000000-0008-0000-1700-000008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7" name="Text Box 9">
          <a:extLst>
            <a:ext uri="{FF2B5EF4-FFF2-40B4-BE49-F238E27FC236}">
              <a16:creationId xmlns:a16="http://schemas.microsoft.com/office/drawing/2014/main" id="{00000000-0008-0000-1700-000009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58" name="Text Box 10">
          <a:extLst>
            <a:ext uri="{FF2B5EF4-FFF2-40B4-BE49-F238E27FC236}">
              <a16:creationId xmlns:a16="http://schemas.microsoft.com/office/drawing/2014/main" id="{00000000-0008-0000-1700-00000A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9" name="Text Box 11">
          <a:extLst>
            <a:ext uri="{FF2B5EF4-FFF2-40B4-BE49-F238E27FC236}">
              <a16:creationId xmlns:a16="http://schemas.microsoft.com/office/drawing/2014/main" id="{00000000-0008-0000-1700-00000B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60" name="Text Box 12">
          <a:extLst>
            <a:ext uri="{FF2B5EF4-FFF2-40B4-BE49-F238E27FC236}">
              <a16:creationId xmlns:a16="http://schemas.microsoft.com/office/drawing/2014/main" id="{00000000-0008-0000-1700-00000C080000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1700-00000E080000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063" name="Text Box 15">
          <a:extLst>
            <a:ext uri="{FF2B5EF4-FFF2-40B4-BE49-F238E27FC236}">
              <a16:creationId xmlns:a16="http://schemas.microsoft.com/office/drawing/2014/main" id="{00000000-0008-0000-1700-00000F080000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065" name="Text Box 17">
          <a:extLst>
            <a:ext uri="{FF2B5EF4-FFF2-40B4-BE49-F238E27FC236}">
              <a16:creationId xmlns:a16="http://schemas.microsoft.com/office/drawing/2014/main" id="{00000000-0008-0000-1700-000011080000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238125</xdr:colOff>
      <xdr:row>24</xdr:row>
      <xdr:rowOff>0</xdr:rowOff>
    </xdr:from>
    <xdr:to>
      <xdr:col>20</xdr:col>
      <xdr:colOff>485775</xdr:colOff>
      <xdr:row>24</xdr:row>
      <xdr:rowOff>0</xdr:rowOff>
    </xdr:to>
    <xdr:sp macro="" textlink="">
      <xdr:nvSpPr>
        <xdr:cNvPr id="2066" name="Text Box 18">
          <a:extLst>
            <a:ext uri="{FF2B5EF4-FFF2-40B4-BE49-F238E27FC236}">
              <a16:creationId xmlns:a16="http://schemas.microsoft.com/office/drawing/2014/main" id="{00000000-0008-0000-1700-000012080000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67" name="Text Box 19">
          <a:extLst>
            <a:ext uri="{FF2B5EF4-FFF2-40B4-BE49-F238E27FC236}">
              <a16:creationId xmlns:a16="http://schemas.microsoft.com/office/drawing/2014/main" id="{00000000-0008-0000-1700-000013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304800</xdr:colOff>
      <xdr:row>24</xdr:row>
      <xdr:rowOff>0</xdr:rowOff>
    </xdr:from>
    <xdr:to>
      <xdr:col>21</xdr:col>
      <xdr:colOff>133350</xdr:colOff>
      <xdr:row>24</xdr:row>
      <xdr:rowOff>0</xdr:rowOff>
    </xdr:to>
    <xdr:sp macro="" textlink="">
      <xdr:nvSpPr>
        <xdr:cNvPr id="2068" name="Text Box 20">
          <a:extLst>
            <a:ext uri="{FF2B5EF4-FFF2-40B4-BE49-F238E27FC236}">
              <a16:creationId xmlns:a16="http://schemas.microsoft.com/office/drawing/2014/main" id="{00000000-0008-0000-1700-000014080000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69" name="Text Box 21">
          <a:extLst>
            <a:ext uri="{FF2B5EF4-FFF2-40B4-BE49-F238E27FC236}">
              <a16:creationId xmlns:a16="http://schemas.microsoft.com/office/drawing/2014/main" id="{00000000-0008-0000-1700-000015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70" name="Text Box 22">
          <a:extLst>
            <a:ext uri="{FF2B5EF4-FFF2-40B4-BE49-F238E27FC236}">
              <a16:creationId xmlns:a16="http://schemas.microsoft.com/office/drawing/2014/main" id="{00000000-0008-0000-1700-000016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71" name="Text Box 23">
          <a:extLst>
            <a:ext uri="{FF2B5EF4-FFF2-40B4-BE49-F238E27FC236}">
              <a16:creationId xmlns:a16="http://schemas.microsoft.com/office/drawing/2014/main" id="{00000000-0008-0000-1700-000017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180975</xdr:colOff>
      <xdr:row>24</xdr:row>
      <xdr:rowOff>0</xdr:rowOff>
    </xdr:from>
    <xdr:to>
      <xdr:col>21</xdr:col>
      <xdr:colOff>561975</xdr:colOff>
      <xdr:row>24</xdr:row>
      <xdr:rowOff>0</xdr:rowOff>
    </xdr:to>
    <xdr:sp macro="" textlink="">
      <xdr:nvSpPr>
        <xdr:cNvPr id="2072" name="Text Box 24">
          <a:extLst>
            <a:ext uri="{FF2B5EF4-FFF2-40B4-BE49-F238E27FC236}">
              <a16:creationId xmlns:a16="http://schemas.microsoft.com/office/drawing/2014/main" id="{00000000-0008-0000-1700-000018080000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12</xdr:col>
      <xdr:colOff>285750</xdr:colOff>
      <xdr:row>24</xdr:row>
      <xdr:rowOff>0</xdr:rowOff>
    </xdr:from>
    <xdr:to>
      <xdr:col>21</xdr:col>
      <xdr:colOff>438150</xdr:colOff>
      <xdr:row>24</xdr:row>
      <xdr:rowOff>0</xdr:rowOff>
    </xdr:to>
    <xdr:sp macro="" textlink="">
      <xdr:nvSpPr>
        <xdr:cNvPr id="2083" name="Text Box 35">
          <a:extLst>
            <a:ext uri="{FF2B5EF4-FFF2-40B4-BE49-F238E27FC236}">
              <a16:creationId xmlns:a16="http://schemas.microsoft.com/office/drawing/2014/main" id="{00000000-0008-0000-1700-000023080000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276225</xdr:colOff>
      <xdr:row>24</xdr:row>
      <xdr:rowOff>0</xdr:rowOff>
    </xdr:from>
    <xdr:to>
      <xdr:col>21</xdr:col>
      <xdr:colOff>104775</xdr:colOff>
      <xdr:row>24</xdr:row>
      <xdr:rowOff>0</xdr:rowOff>
    </xdr:to>
    <xdr:sp macro="" textlink="">
      <xdr:nvSpPr>
        <xdr:cNvPr id="2084" name="Text Box 36">
          <a:extLst>
            <a:ext uri="{FF2B5EF4-FFF2-40B4-BE49-F238E27FC236}">
              <a16:creationId xmlns:a16="http://schemas.microsoft.com/office/drawing/2014/main" id="{00000000-0008-0000-1700-000024080000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180975</xdr:colOff>
      <xdr:row>49</xdr:row>
      <xdr:rowOff>0</xdr:rowOff>
    </xdr:from>
    <xdr:to>
      <xdr:col>21</xdr:col>
      <xdr:colOff>561975</xdr:colOff>
      <xdr:row>49</xdr:row>
      <xdr:rowOff>0</xdr:rowOff>
    </xdr:to>
    <xdr:sp macro="" textlink="">
      <xdr:nvSpPr>
        <xdr:cNvPr id="2085" name="Text Box 37">
          <a:extLst>
            <a:ext uri="{FF2B5EF4-FFF2-40B4-BE49-F238E27FC236}">
              <a16:creationId xmlns:a16="http://schemas.microsoft.com/office/drawing/2014/main" id="{00000000-0008-0000-1700-000025080000}"/>
            </a:ext>
          </a:extLst>
        </xdr:cNvPr>
        <xdr:cNvSpPr txBox="1">
          <a:spLocks noChangeArrowheads="1"/>
        </xdr:cNvSpPr>
      </xdr:nvSpPr>
      <xdr:spPr bwMode="auto">
        <a:xfrm>
          <a:off x="4391025" y="123348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11</xdr:col>
      <xdr:colOff>304800</xdr:colOff>
      <xdr:row>49</xdr:row>
      <xdr:rowOff>0</xdr:rowOff>
    </xdr:from>
    <xdr:to>
      <xdr:col>21</xdr:col>
      <xdr:colOff>133350</xdr:colOff>
      <xdr:row>49</xdr:row>
      <xdr:rowOff>0</xdr:rowOff>
    </xdr:to>
    <xdr:sp macro="" textlink="">
      <xdr:nvSpPr>
        <xdr:cNvPr id="2096" name="Text Box 48">
          <a:extLst>
            <a:ext uri="{FF2B5EF4-FFF2-40B4-BE49-F238E27FC236}">
              <a16:creationId xmlns:a16="http://schemas.microsoft.com/office/drawing/2014/main" id="{00000000-0008-0000-1700-000030080000}"/>
            </a:ext>
          </a:extLst>
        </xdr:cNvPr>
        <xdr:cNvSpPr txBox="1">
          <a:spLocks noChangeArrowheads="1"/>
        </xdr:cNvSpPr>
      </xdr:nvSpPr>
      <xdr:spPr bwMode="auto">
        <a:xfrm>
          <a:off x="4191000" y="123348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97" name="Text Box 49">
          <a:extLst>
            <a:ext uri="{FF2B5EF4-FFF2-40B4-BE49-F238E27FC236}">
              <a16:creationId xmlns:a16="http://schemas.microsoft.com/office/drawing/2014/main" id="{00000000-0008-0000-1700-000031080000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9525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6070" name="Line 50">
          <a:extLst>
            <a:ext uri="{FF2B5EF4-FFF2-40B4-BE49-F238E27FC236}">
              <a16:creationId xmlns:a16="http://schemas.microsoft.com/office/drawing/2014/main" id="{00000000-0008-0000-1700-000026290100}"/>
            </a:ext>
          </a:extLst>
        </xdr:cNvPr>
        <xdr:cNvSpPr>
          <a:spLocks noChangeShapeType="1"/>
        </xdr:cNvSpPr>
      </xdr:nvSpPr>
      <xdr:spPr bwMode="auto">
        <a:xfrm>
          <a:off x="1619250" y="0"/>
          <a:ext cx="6667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99" name="Text Box 51">
          <a:extLst>
            <a:ext uri="{FF2B5EF4-FFF2-40B4-BE49-F238E27FC236}">
              <a16:creationId xmlns:a16="http://schemas.microsoft.com/office/drawing/2014/main" id="{00000000-0008-0000-1700-000033080000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100" name="Text Box 52">
          <a:extLst>
            <a:ext uri="{FF2B5EF4-FFF2-40B4-BE49-F238E27FC236}">
              <a16:creationId xmlns:a16="http://schemas.microsoft.com/office/drawing/2014/main" id="{00000000-0008-0000-1700-000034080000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38100</xdr:colOff>
      <xdr:row>0</xdr:row>
      <xdr:rowOff>0</xdr:rowOff>
    </xdr:from>
    <xdr:to>
      <xdr:col>8</xdr:col>
      <xdr:colOff>342900</xdr:colOff>
      <xdr:row>0</xdr:row>
      <xdr:rowOff>0</xdr:rowOff>
    </xdr:to>
    <xdr:sp macro="" textlink="">
      <xdr:nvSpPr>
        <xdr:cNvPr id="2101" name="Text Box 53">
          <a:extLst>
            <a:ext uri="{FF2B5EF4-FFF2-40B4-BE49-F238E27FC236}">
              <a16:creationId xmlns:a16="http://schemas.microsoft.com/office/drawing/2014/main" id="{00000000-0008-0000-1700-000035080000}"/>
            </a:ext>
          </a:extLst>
        </xdr:cNvPr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102" name="Text Box 54">
          <a:extLst>
            <a:ext uri="{FF2B5EF4-FFF2-40B4-BE49-F238E27FC236}">
              <a16:creationId xmlns:a16="http://schemas.microsoft.com/office/drawing/2014/main" id="{00000000-0008-0000-1700-000036080000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03" name="Text Box 55">
          <a:extLst>
            <a:ext uri="{FF2B5EF4-FFF2-40B4-BE49-F238E27FC236}">
              <a16:creationId xmlns:a16="http://schemas.microsoft.com/office/drawing/2014/main" id="{00000000-0008-0000-1700-000037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4" name="Text Box 56">
          <a:extLst>
            <a:ext uri="{FF2B5EF4-FFF2-40B4-BE49-F238E27FC236}">
              <a16:creationId xmlns:a16="http://schemas.microsoft.com/office/drawing/2014/main" id="{00000000-0008-0000-1700-000038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5" name="Text Box 57">
          <a:extLst>
            <a:ext uri="{FF2B5EF4-FFF2-40B4-BE49-F238E27FC236}">
              <a16:creationId xmlns:a16="http://schemas.microsoft.com/office/drawing/2014/main" id="{00000000-0008-0000-1700-000039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06" name="Text Box 58">
          <a:extLst>
            <a:ext uri="{FF2B5EF4-FFF2-40B4-BE49-F238E27FC236}">
              <a16:creationId xmlns:a16="http://schemas.microsoft.com/office/drawing/2014/main" id="{00000000-0008-0000-1700-00003A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7" name="Text Box 59">
          <a:extLst>
            <a:ext uri="{FF2B5EF4-FFF2-40B4-BE49-F238E27FC236}">
              <a16:creationId xmlns:a16="http://schemas.microsoft.com/office/drawing/2014/main" id="{00000000-0008-0000-1700-00003B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108" name="Text Box 60">
          <a:extLst>
            <a:ext uri="{FF2B5EF4-FFF2-40B4-BE49-F238E27FC236}">
              <a16:creationId xmlns:a16="http://schemas.microsoft.com/office/drawing/2014/main" id="{00000000-0008-0000-1700-00003C080000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9525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6081" name="Line 61">
          <a:extLst>
            <a:ext uri="{FF2B5EF4-FFF2-40B4-BE49-F238E27FC236}">
              <a16:creationId xmlns:a16="http://schemas.microsoft.com/office/drawing/2014/main" id="{00000000-0008-0000-1700-000031290100}"/>
            </a:ext>
          </a:extLst>
        </xdr:cNvPr>
        <xdr:cNvSpPr>
          <a:spLocks noChangeShapeType="1"/>
        </xdr:cNvSpPr>
      </xdr:nvSpPr>
      <xdr:spPr bwMode="auto">
        <a:xfrm>
          <a:off x="1619250" y="0"/>
          <a:ext cx="6667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110" name="Text Box 62">
          <a:extLst>
            <a:ext uri="{FF2B5EF4-FFF2-40B4-BE49-F238E27FC236}">
              <a16:creationId xmlns:a16="http://schemas.microsoft.com/office/drawing/2014/main" id="{00000000-0008-0000-1700-00003E080000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111" name="Text Box 63">
          <a:extLst>
            <a:ext uri="{FF2B5EF4-FFF2-40B4-BE49-F238E27FC236}">
              <a16:creationId xmlns:a16="http://schemas.microsoft.com/office/drawing/2014/main" id="{00000000-0008-0000-1700-00003F080000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38100</xdr:colOff>
      <xdr:row>0</xdr:row>
      <xdr:rowOff>0</xdr:rowOff>
    </xdr:from>
    <xdr:to>
      <xdr:col>8</xdr:col>
      <xdr:colOff>342900</xdr:colOff>
      <xdr:row>0</xdr:row>
      <xdr:rowOff>0</xdr:rowOff>
    </xdr:to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00000000-0008-0000-1700-000040080000}"/>
            </a:ext>
          </a:extLst>
        </xdr:cNvPr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113" name="Text Box 65">
          <a:extLst>
            <a:ext uri="{FF2B5EF4-FFF2-40B4-BE49-F238E27FC236}">
              <a16:creationId xmlns:a16="http://schemas.microsoft.com/office/drawing/2014/main" id="{00000000-0008-0000-1700-000041080000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238125</xdr:colOff>
      <xdr:row>24</xdr:row>
      <xdr:rowOff>0</xdr:rowOff>
    </xdr:from>
    <xdr:to>
      <xdr:col>20</xdr:col>
      <xdr:colOff>485775</xdr:colOff>
      <xdr:row>24</xdr:row>
      <xdr:rowOff>0</xdr:rowOff>
    </xdr:to>
    <xdr:sp macro="" textlink="">
      <xdr:nvSpPr>
        <xdr:cNvPr id="2114" name="Text Box 66">
          <a:extLst>
            <a:ext uri="{FF2B5EF4-FFF2-40B4-BE49-F238E27FC236}">
              <a16:creationId xmlns:a16="http://schemas.microsoft.com/office/drawing/2014/main" id="{00000000-0008-0000-1700-000042080000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15" name="Text Box 67">
          <a:extLst>
            <a:ext uri="{FF2B5EF4-FFF2-40B4-BE49-F238E27FC236}">
              <a16:creationId xmlns:a16="http://schemas.microsoft.com/office/drawing/2014/main" id="{00000000-0008-0000-1700-000043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304800</xdr:colOff>
      <xdr:row>24</xdr:row>
      <xdr:rowOff>0</xdr:rowOff>
    </xdr:from>
    <xdr:to>
      <xdr:col>21</xdr:col>
      <xdr:colOff>133350</xdr:colOff>
      <xdr:row>24</xdr:row>
      <xdr:rowOff>0</xdr:rowOff>
    </xdr:to>
    <xdr:sp macro="" textlink="">
      <xdr:nvSpPr>
        <xdr:cNvPr id="2116" name="Text Box 68">
          <a:extLst>
            <a:ext uri="{FF2B5EF4-FFF2-40B4-BE49-F238E27FC236}">
              <a16:creationId xmlns:a16="http://schemas.microsoft.com/office/drawing/2014/main" id="{00000000-0008-0000-1700-000044080000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17" name="Text Box 69">
          <a:extLst>
            <a:ext uri="{FF2B5EF4-FFF2-40B4-BE49-F238E27FC236}">
              <a16:creationId xmlns:a16="http://schemas.microsoft.com/office/drawing/2014/main" id="{00000000-0008-0000-1700-000045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18" name="Text Box 70">
          <a:extLst>
            <a:ext uri="{FF2B5EF4-FFF2-40B4-BE49-F238E27FC236}">
              <a16:creationId xmlns:a16="http://schemas.microsoft.com/office/drawing/2014/main" id="{00000000-0008-0000-1700-000046080000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19" name="Text Box 71">
          <a:extLst>
            <a:ext uri="{FF2B5EF4-FFF2-40B4-BE49-F238E27FC236}">
              <a16:creationId xmlns:a16="http://schemas.microsoft.com/office/drawing/2014/main" id="{00000000-0008-0000-1700-000047080000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180975</xdr:colOff>
      <xdr:row>24</xdr:row>
      <xdr:rowOff>0</xdr:rowOff>
    </xdr:from>
    <xdr:to>
      <xdr:col>21</xdr:col>
      <xdr:colOff>561975</xdr:colOff>
      <xdr:row>24</xdr:row>
      <xdr:rowOff>0</xdr:rowOff>
    </xdr:to>
    <xdr:sp macro="" textlink="">
      <xdr:nvSpPr>
        <xdr:cNvPr id="2120" name="Text Box 72">
          <a:extLst>
            <a:ext uri="{FF2B5EF4-FFF2-40B4-BE49-F238E27FC236}">
              <a16:creationId xmlns:a16="http://schemas.microsoft.com/office/drawing/2014/main" id="{00000000-0008-0000-1700-000048080000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8</xdr:col>
      <xdr:colOff>209550</xdr:colOff>
      <xdr:row>12</xdr:row>
      <xdr:rowOff>1266825</xdr:rowOff>
    </xdr:from>
    <xdr:to>
      <xdr:col>8</xdr:col>
      <xdr:colOff>209550</xdr:colOff>
      <xdr:row>14</xdr:row>
      <xdr:rowOff>9525</xdr:rowOff>
    </xdr:to>
    <xdr:sp macro="" textlink="">
      <xdr:nvSpPr>
        <xdr:cNvPr id="76093" name="Line 73">
          <a:extLst>
            <a:ext uri="{FF2B5EF4-FFF2-40B4-BE49-F238E27FC236}">
              <a16:creationId xmlns:a16="http://schemas.microsoft.com/office/drawing/2014/main" id="{00000000-0008-0000-1700-00003D290100}"/>
            </a:ext>
          </a:extLst>
        </xdr:cNvPr>
        <xdr:cNvSpPr>
          <a:spLocks noChangeShapeType="1"/>
        </xdr:cNvSpPr>
      </xdr:nvSpPr>
      <xdr:spPr bwMode="auto">
        <a:xfrm>
          <a:off x="3038475" y="3705225"/>
          <a:ext cx="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200025</xdr:colOff>
      <xdr:row>12</xdr:row>
      <xdr:rowOff>0</xdr:rowOff>
    </xdr:from>
    <xdr:to>
      <xdr:col>8</xdr:col>
      <xdr:colOff>200025</xdr:colOff>
      <xdr:row>12</xdr:row>
      <xdr:rowOff>638175</xdr:rowOff>
    </xdr:to>
    <xdr:sp macro="" textlink="">
      <xdr:nvSpPr>
        <xdr:cNvPr id="76094" name="Line 74">
          <a:extLst>
            <a:ext uri="{FF2B5EF4-FFF2-40B4-BE49-F238E27FC236}">
              <a16:creationId xmlns:a16="http://schemas.microsoft.com/office/drawing/2014/main" id="{00000000-0008-0000-1700-00003E290100}"/>
            </a:ext>
          </a:extLst>
        </xdr:cNvPr>
        <xdr:cNvSpPr>
          <a:spLocks noChangeShapeType="1"/>
        </xdr:cNvSpPr>
      </xdr:nvSpPr>
      <xdr:spPr bwMode="auto">
        <a:xfrm rot="10800000">
          <a:off x="3028950" y="2438400"/>
          <a:ext cx="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10</xdr:row>
      <xdr:rowOff>85725</xdr:rowOff>
    </xdr:from>
    <xdr:to>
      <xdr:col>7</xdr:col>
      <xdr:colOff>314325</xdr:colOff>
      <xdr:row>10</xdr:row>
      <xdr:rowOff>85725</xdr:rowOff>
    </xdr:to>
    <xdr:sp macro="" textlink="">
      <xdr:nvSpPr>
        <xdr:cNvPr id="76095" name="Line 75">
          <a:extLst>
            <a:ext uri="{FF2B5EF4-FFF2-40B4-BE49-F238E27FC236}">
              <a16:creationId xmlns:a16="http://schemas.microsoft.com/office/drawing/2014/main" id="{00000000-0008-0000-1700-00003F290100}"/>
            </a:ext>
          </a:extLst>
        </xdr:cNvPr>
        <xdr:cNvSpPr>
          <a:spLocks noChangeShapeType="1"/>
        </xdr:cNvSpPr>
      </xdr:nvSpPr>
      <xdr:spPr bwMode="auto">
        <a:xfrm>
          <a:off x="2505075" y="2171700"/>
          <a:ext cx="3143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10</xdr:row>
      <xdr:rowOff>85725</xdr:rowOff>
    </xdr:from>
    <xdr:to>
      <xdr:col>4</xdr:col>
      <xdr:colOff>57150</xdr:colOff>
      <xdr:row>10</xdr:row>
      <xdr:rowOff>85725</xdr:rowOff>
    </xdr:to>
    <xdr:sp macro="" textlink="">
      <xdr:nvSpPr>
        <xdr:cNvPr id="76096" name="Line 76">
          <a:extLst>
            <a:ext uri="{FF2B5EF4-FFF2-40B4-BE49-F238E27FC236}">
              <a16:creationId xmlns:a16="http://schemas.microsoft.com/office/drawing/2014/main" id="{00000000-0008-0000-1700-000040290100}"/>
            </a:ext>
          </a:extLst>
        </xdr:cNvPr>
        <xdr:cNvSpPr>
          <a:spLocks noChangeShapeType="1"/>
        </xdr:cNvSpPr>
      </xdr:nvSpPr>
      <xdr:spPr bwMode="auto">
        <a:xfrm rot="10800000">
          <a:off x="1057275" y="2171700"/>
          <a:ext cx="381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9525</xdr:colOff>
      <xdr:row>12</xdr:row>
      <xdr:rowOff>485775</xdr:rowOff>
    </xdr:from>
    <xdr:to>
      <xdr:col>6</xdr:col>
      <xdr:colOff>9525</xdr:colOff>
      <xdr:row>12</xdr:row>
      <xdr:rowOff>485775</xdr:rowOff>
    </xdr:to>
    <xdr:sp macro="" textlink="">
      <xdr:nvSpPr>
        <xdr:cNvPr id="76097" name="Line 77">
          <a:extLst>
            <a:ext uri="{FF2B5EF4-FFF2-40B4-BE49-F238E27FC236}">
              <a16:creationId xmlns:a16="http://schemas.microsoft.com/office/drawing/2014/main" id="{00000000-0008-0000-1700-000041290100}"/>
            </a:ext>
          </a:extLst>
        </xdr:cNvPr>
        <xdr:cNvSpPr>
          <a:spLocks noChangeShapeType="1"/>
        </xdr:cNvSpPr>
      </xdr:nvSpPr>
      <xdr:spPr bwMode="auto">
        <a:xfrm>
          <a:off x="1619250" y="2924175"/>
          <a:ext cx="6762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15</xdr:row>
      <xdr:rowOff>85725</xdr:rowOff>
    </xdr:from>
    <xdr:to>
      <xdr:col>5</xdr:col>
      <xdr:colOff>0</xdr:colOff>
      <xdr:row>15</xdr:row>
      <xdr:rowOff>85725</xdr:rowOff>
    </xdr:to>
    <xdr:sp macro="" textlink="">
      <xdr:nvSpPr>
        <xdr:cNvPr id="76098" name="Line 78">
          <a:extLst>
            <a:ext uri="{FF2B5EF4-FFF2-40B4-BE49-F238E27FC236}">
              <a16:creationId xmlns:a16="http://schemas.microsoft.com/office/drawing/2014/main" id="{00000000-0008-0000-1700-000042290100}"/>
            </a:ext>
          </a:extLst>
        </xdr:cNvPr>
        <xdr:cNvSpPr>
          <a:spLocks noChangeShapeType="1"/>
        </xdr:cNvSpPr>
      </xdr:nvSpPr>
      <xdr:spPr bwMode="auto">
        <a:xfrm rot="10800000">
          <a:off x="1381125" y="4591050"/>
          <a:ext cx="2286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76200</xdr:colOff>
      <xdr:row>15</xdr:row>
      <xdr:rowOff>85725</xdr:rowOff>
    </xdr:from>
    <xdr:to>
      <xdr:col>7</xdr:col>
      <xdr:colOff>0</xdr:colOff>
      <xdr:row>15</xdr:row>
      <xdr:rowOff>85725</xdr:rowOff>
    </xdr:to>
    <xdr:sp macro="" textlink="">
      <xdr:nvSpPr>
        <xdr:cNvPr id="76099" name="Line 79">
          <a:extLst>
            <a:ext uri="{FF2B5EF4-FFF2-40B4-BE49-F238E27FC236}">
              <a16:creationId xmlns:a16="http://schemas.microsoft.com/office/drawing/2014/main" id="{00000000-0008-0000-1700-000043290100}"/>
            </a:ext>
          </a:extLst>
        </xdr:cNvPr>
        <xdr:cNvSpPr>
          <a:spLocks noChangeShapeType="1"/>
        </xdr:cNvSpPr>
      </xdr:nvSpPr>
      <xdr:spPr bwMode="auto">
        <a:xfrm>
          <a:off x="2362200" y="4591050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38100</xdr:colOff>
      <xdr:row>12</xdr:row>
      <xdr:rowOff>828675</xdr:rowOff>
    </xdr:from>
    <xdr:to>
      <xdr:col>8</xdr:col>
      <xdr:colOff>342900</xdr:colOff>
      <xdr:row>12</xdr:row>
      <xdr:rowOff>1095375</xdr:rowOff>
    </xdr:to>
    <xdr:sp macro="" textlink="">
      <xdr:nvSpPr>
        <xdr:cNvPr id="2128" name="Text Box 80">
          <a:extLst>
            <a:ext uri="{FF2B5EF4-FFF2-40B4-BE49-F238E27FC236}">
              <a16:creationId xmlns:a16="http://schemas.microsoft.com/office/drawing/2014/main" id="{00000000-0008-0000-1700-000050080000}"/>
            </a:ext>
          </a:extLst>
        </xdr:cNvPr>
        <xdr:cNvSpPr txBox="1">
          <a:spLocks noChangeArrowheads="1"/>
        </xdr:cNvSpPr>
      </xdr:nvSpPr>
      <xdr:spPr bwMode="auto">
        <a:xfrm>
          <a:off x="2867025" y="3267075"/>
          <a:ext cx="3048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600</a:t>
          </a:r>
        </a:p>
      </xdr:txBody>
    </xdr:sp>
    <xdr:clientData/>
  </xdr:twoCellAnchor>
  <xdr:twoCellAnchor>
    <xdr:from>
      <xdr:col>5</xdr:col>
      <xdr:colOff>200025</xdr:colOff>
      <xdr:row>12</xdr:row>
      <xdr:rowOff>1609725</xdr:rowOff>
    </xdr:from>
    <xdr:to>
      <xdr:col>5</xdr:col>
      <xdr:colOff>295275</xdr:colOff>
      <xdr:row>13</xdr:row>
      <xdr:rowOff>76200</xdr:rowOff>
    </xdr:to>
    <xdr:sp macro="" textlink="">
      <xdr:nvSpPr>
        <xdr:cNvPr id="76101" name="AutoShape 81">
          <a:extLst>
            <a:ext uri="{FF2B5EF4-FFF2-40B4-BE49-F238E27FC236}">
              <a16:creationId xmlns:a16="http://schemas.microsoft.com/office/drawing/2014/main" id="{00000000-0008-0000-1700-000045290100}"/>
            </a:ext>
          </a:extLst>
        </xdr:cNvPr>
        <xdr:cNvSpPr>
          <a:spLocks noChangeArrowheads="1"/>
        </xdr:cNvSpPr>
      </xdr:nvSpPr>
      <xdr:spPr bwMode="auto">
        <a:xfrm>
          <a:off x="1809750" y="40481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238125</xdr:colOff>
      <xdr:row>5</xdr:row>
      <xdr:rowOff>457200</xdr:rowOff>
    </xdr:from>
    <xdr:to>
      <xdr:col>20</xdr:col>
      <xdr:colOff>485775</xdr:colOff>
      <xdr:row>23</xdr:row>
      <xdr:rowOff>0</xdr:rowOff>
    </xdr:to>
    <xdr:sp macro="" textlink="">
      <xdr:nvSpPr>
        <xdr:cNvPr id="2130" name="Text Box 82">
          <a:extLst>
            <a:ext uri="{FF2B5EF4-FFF2-40B4-BE49-F238E27FC236}">
              <a16:creationId xmlns:a16="http://schemas.microsoft.com/office/drawing/2014/main" id="{00000000-0008-0000-1700-000052080000}"/>
            </a:ext>
          </a:extLst>
        </xdr:cNvPr>
        <xdr:cNvSpPr txBox="1">
          <a:spLocks noChangeArrowheads="1"/>
        </xdr:cNvSpPr>
      </xdr:nvSpPr>
      <xdr:spPr bwMode="auto">
        <a:xfrm>
          <a:off x="4772025" y="1381125"/>
          <a:ext cx="3238500" cy="44958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(0.5+0.3) / 2 × 0.6 = 0.24㎥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(0.5+0.3) / 2 × 0.6 = 0.24㎥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경고표시테이프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L = 1 m</a:t>
          </a:r>
        </a:p>
        <a:p>
          <a:pPr algn="l" rtl="1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285750</xdr:colOff>
      <xdr:row>24</xdr:row>
      <xdr:rowOff>0</xdr:rowOff>
    </xdr:from>
    <xdr:to>
      <xdr:col>21</xdr:col>
      <xdr:colOff>438150</xdr:colOff>
      <xdr:row>24</xdr:row>
      <xdr:rowOff>0</xdr:rowOff>
    </xdr:to>
    <xdr:sp macro="" textlink="">
      <xdr:nvSpPr>
        <xdr:cNvPr id="2131" name="Text Box 83">
          <a:extLst>
            <a:ext uri="{FF2B5EF4-FFF2-40B4-BE49-F238E27FC236}">
              <a16:creationId xmlns:a16="http://schemas.microsoft.com/office/drawing/2014/main" id="{00000000-0008-0000-1700-000053080000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276225</xdr:colOff>
      <xdr:row>24</xdr:row>
      <xdr:rowOff>0</xdr:rowOff>
    </xdr:from>
    <xdr:to>
      <xdr:col>21</xdr:col>
      <xdr:colOff>104775</xdr:colOff>
      <xdr:row>24</xdr:row>
      <xdr:rowOff>0</xdr:rowOff>
    </xdr:to>
    <xdr:sp macro="" textlink="">
      <xdr:nvSpPr>
        <xdr:cNvPr id="2132" name="Text Box 84">
          <a:extLst>
            <a:ext uri="{FF2B5EF4-FFF2-40B4-BE49-F238E27FC236}">
              <a16:creationId xmlns:a16="http://schemas.microsoft.com/office/drawing/2014/main" id="{00000000-0008-0000-1700-000054080000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180975</xdr:colOff>
      <xdr:row>47</xdr:row>
      <xdr:rowOff>0</xdr:rowOff>
    </xdr:from>
    <xdr:to>
      <xdr:col>21</xdr:col>
      <xdr:colOff>561975</xdr:colOff>
      <xdr:row>47</xdr:row>
      <xdr:rowOff>0</xdr:rowOff>
    </xdr:to>
    <xdr:sp macro="" textlink="">
      <xdr:nvSpPr>
        <xdr:cNvPr id="2133" name="Text Box 85">
          <a:extLst>
            <a:ext uri="{FF2B5EF4-FFF2-40B4-BE49-F238E27FC236}">
              <a16:creationId xmlns:a16="http://schemas.microsoft.com/office/drawing/2014/main" id="{00000000-0008-0000-1700-000055080000}"/>
            </a:ext>
          </a:extLst>
        </xdr:cNvPr>
        <xdr:cNvSpPr txBox="1">
          <a:spLocks noChangeArrowheads="1"/>
        </xdr:cNvSpPr>
      </xdr:nvSpPr>
      <xdr:spPr bwMode="auto">
        <a:xfrm>
          <a:off x="4391025" y="119919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238125</xdr:colOff>
      <xdr:row>29</xdr:row>
      <xdr:rowOff>457200</xdr:rowOff>
    </xdr:from>
    <xdr:to>
      <xdr:col>20</xdr:col>
      <xdr:colOff>485775</xdr:colOff>
      <xdr:row>46</xdr:row>
      <xdr:rowOff>0</xdr:rowOff>
    </xdr:to>
    <xdr:sp macro="" textlink="">
      <xdr:nvSpPr>
        <xdr:cNvPr id="2134" name="Text Box 86">
          <a:extLst>
            <a:ext uri="{FF2B5EF4-FFF2-40B4-BE49-F238E27FC236}">
              <a16:creationId xmlns:a16="http://schemas.microsoft.com/office/drawing/2014/main" id="{00000000-0008-0000-1700-000056080000}"/>
            </a:ext>
          </a:extLst>
        </xdr:cNvPr>
        <xdr:cNvSpPr txBox="1">
          <a:spLocks noChangeArrowheads="1"/>
        </xdr:cNvSpPr>
      </xdr:nvSpPr>
      <xdr:spPr bwMode="auto">
        <a:xfrm>
          <a:off x="4772025" y="7362825"/>
          <a:ext cx="3238500" cy="44577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(0.5+0.86) / 2 × 0.675 = 0.459㎥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(0.5+0.86) / 2 × 0.675 = 0.459㎥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경고표시테이프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L = 1 m</a:t>
          </a: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</a:p>
      </xdr:txBody>
    </xdr:sp>
    <xdr:clientData/>
  </xdr:twoCellAnchor>
  <xdr:twoCellAnchor>
    <xdr:from>
      <xdr:col>11</xdr:col>
      <xdr:colOff>304800</xdr:colOff>
      <xdr:row>47</xdr:row>
      <xdr:rowOff>0</xdr:rowOff>
    </xdr:from>
    <xdr:to>
      <xdr:col>21</xdr:col>
      <xdr:colOff>133350</xdr:colOff>
      <xdr:row>47</xdr:row>
      <xdr:rowOff>0</xdr:rowOff>
    </xdr:to>
    <xdr:sp macro="" textlink="">
      <xdr:nvSpPr>
        <xdr:cNvPr id="2135" name="Text Box 87">
          <a:extLst>
            <a:ext uri="{FF2B5EF4-FFF2-40B4-BE49-F238E27FC236}">
              <a16:creationId xmlns:a16="http://schemas.microsoft.com/office/drawing/2014/main" id="{00000000-0008-0000-1700-000057080000}"/>
            </a:ext>
          </a:extLst>
        </xdr:cNvPr>
        <xdr:cNvSpPr txBox="1">
          <a:spLocks noChangeArrowheads="1"/>
        </xdr:cNvSpPr>
      </xdr:nvSpPr>
      <xdr:spPr bwMode="auto">
        <a:xfrm>
          <a:off x="4191000" y="119919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8</xdr:col>
      <xdr:colOff>209550</xdr:colOff>
      <xdr:row>36</xdr:row>
      <xdr:rowOff>1266825</xdr:rowOff>
    </xdr:from>
    <xdr:to>
      <xdr:col>8</xdr:col>
      <xdr:colOff>209550</xdr:colOff>
      <xdr:row>38</xdr:row>
      <xdr:rowOff>9525</xdr:rowOff>
    </xdr:to>
    <xdr:sp macro="" textlink="">
      <xdr:nvSpPr>
        <xdr:cNvPr id="76108" name="Line 95">
          <a:extLst>
            <a:ext uri="{FF2B5EF4-FFF2-40B4-BE49-F238E27FC236}">
              <a16:creationId xmlns:a16="http://schemas.microsoft.com/office/drawing/2014/main" id="{00000000-0008-0000-1700-00004C290100}"/>
            </a:ext>
          </a:extLst>
        </xdr:cNvPr>
        <xdr:cNvSpPr>
          <a:spLocks noChangeShapeType="1"/>
        </xdr:cNvSpPr>
      </xdr:nvSpPr>
      <xdr:spPr bwMode="auto">
        <a:xfrm>
          <a:off x="3038475" y="604837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200025</xdr:colOff>
      <xdr:row>36</xdr:row>
      <xdr:rowOff>0</xdr:rowOff>
    </xdr:from>
    <xdr:to>
      <xdr:col>8</xdr:col>
      <xdr:colOff>200025</xdr:colOff>
      <xdr:row>36</xdr:row>
      <xdr:rowOff>638175</xdr:rowOff>
    </xdr:to>
    <xdr:sp macro="" textlink="">
      <xdr:nvSpPr>
        <xdr:cNvPr id="76109" name="Line 96">
          <a:extLst>
            <a:ext uri="{FF2B5EF4-FFF2-40B4-BE49-F238E27FC236}">
              <a16:creationId xmlns:a16="http://schemas.microsoft.com/office/drawing/2014/main" id="{00000000-0008-0000-1700-00004D290100}"/>
            </a:ext>
          </a:extLst>
        </xdr:cNvPr>
        <xdr:cNvSpPr>
          <a:spLocks noChangeShapeType="1"/>
        </xdr:cNvSpPr>
      </xdr:nvSpPr>
      <xdr:spPr bwMode="auto">
        <a:xfrm rot="10800000">
          <a:off x="3028950" y="604837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34</xdr:row>
      <xdr:rowOff>85725</xdr:rowOff>
    </xdr:from>
    <xdr:to>
      <xdr:col>7</xdr:col>
      <xdr:colOff>314325</xdr:colOff>
      <xdr:row>34</xdr:row>
      <xdr:rowOff>85725</xdr:rowOff>
    </xdr:to>
    <xdr:sp macro="" textlink="">
      <xdr:nvSpPr>
        <xdr:cNvPr id="76110" name="Line 97">
          <a:extLst>
            <a:ext uri="{FF2B5EF4-FFF2-40B4-BE49-F238E27FC236}">
              <a16:creationId xmlns:a16="http://schemas.microsoft.com/office/drawing/2014/main" id="{00000000-0008-0000-1700-00004E290100}"/>
            </a:ext>
          </a:extLst>
        </xdr:cNvPr>
        <xdr:cNvSpPr>
          <a:spLocks noChangeShapeType="1"/>
        </xdr:cNvSpPr>
      </xdr:nvSpPr>
      <xdr:spPr bwMode="auto">
        <a:xfrm>
          <a:off x="2505075" y="6048375"/>
          <a:ext cx="3143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34</xdr:row>
      <xdr:rowOff>85725</xdr:rowOff>
    </xdr:from>
    <xdr:to>
      <xdr:col>4</xdr:col>
      <xdr:colOff>57150</xdr:colOff>
      <xdr:row>34</xdr:row>
      <xdr:rowOff>85725</xdr:rowOff>
    </xdr:to>
    <xdr:sp macro="" textlink="">
      <xdr:nvSpPr>
        <xdr:cNvPr id="76111" name="Line 98">
          <a:extLst>
            <a:ext uri="{FF2B5EF4-FFF2-40B4-BE49-F238E27FC236}">
              <a16:creationId xmlns:a16="http://schemas.microsoft.com/office/drawing/2014/main" id="{00000000-0008-0000-1700-00004F290100}"/>
            </a:ext>
          </a:extLst>
        </xdr:cNvPr>
        <xdr:cNvSpPr>
          <a:spLocks noChangeShapeType="1"/>
        </xdr:cNvSpPr>
      </xdr:nvSpPr>
      <xdr:spPr bwMode="auto">
        <a:xfrm rot="10800000">
          <a:off x="1057275" y="6048375"/>
          <a:ext cx="381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9525</xdr:colOff>
      <xdr:row>36</xdr:row>
      <xdr:rowOff>485775</xdr:rowOff>
    </xdr:from>
    <xdr:to>
      <xdr:col>6</xdr:col>
      <xdr:colOff>9525</xdr:colOff>
      <xdr:row>36</xdr:row>
      <xdr:rowOff>485775</xdr:rowOff>
    </xdr:to>
    <xdr:sp macro="" textlink="">
      <xdr:nvSpPr>
        <xdr:cNvPr id="76112" name="Line 99">
          <a:extLst>
            <a:ext uri="{FF2B5EF4-FFF2-40B4-BE49-F238E27FC236}">
              <a16:creationId xmlns:a16="http://schemas.microsoft.com/office/drawing/2014/main" id="{00000000-0008-0000-1700-000050290100}"/>
            </a:ext>
          </a:extLst>
        </xdr:cNvPr>
        <xdr:cNvSpPr>
          <a:spLocks noChangeShapeType="1"/>
        </xdr:cNvSpPr>
      </xdr:nvSpPr>
      <xdr:spPr bwMode="auto">
        <a:xfrm>
          <a:off x="1619250" y="6048375"/>
          <a:ext cx="6762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39</xdr:row>
      <xdr:rowOff>85725</xdr:rowOff>
    </xdr:from>
    <xdr:to>
      <xdr:col>5</xdr:col>
      <xdr:colOff>0</xdr:colOff>
      <xdr:row>39</xdr:row>
      <xdr:rowOff>85725</xdr:rowOff>
    </xdr:to>
    <xdr:sp macro="" textlink="">
      <xdr:nvSpPr>
        <xdr:cNvPr id="76113" name="Line 100">
          <a:extLst>
            <a:ext uri="{FF2B5EF4-FFF2-40B4-BE49-F238E27FC236}">
              <a16:creationId xmlns:a16="http://schemas.microsoft.com/office/drawing/2014/main" id="{00000000-0008-0000-1700-000051290100}"/>
            </a:ext>
          </a:extLst>
        </xdr:cNvPr>
        <xdr:cNvSpPr>
          <a:spLocks noChangeShapeType="1"/>
        </xdr:cNvSpPr>
      </xdr:nvSpPr>
      <xdr:spPr bwMode="auto">
        <a:xfrm rot="10800000">
          <a:off x="1381125" y="6048375"/>
          <a:ext cx="2286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76200</xdr:colOff>
      <xdr:row>39</xdr:row>
      <xdr:rowOff>85725</xdr:rowOff>
    </xdr:from>
    <xdr:to>
      <xdr:col>7</xdr:col>
      <xdr:colOff>0</xdr:colOff>
      <xdr:row>39</xdr:row>
      <xdr:rowOff>85725</xdr:rowOff>
    </xdr:to>
    <xdr:sp macro="" textlink="">
      <xdr:nvSpPr>
        <xdr:cNvPr id="76114" name="Line 101">
          <a:extLst>
            <a:ext uri="{FF2B5EF4-FFF2-40B4-BE49-F238E27FC236}">
              <a16:creationId xmlns:a16="http://schemas.microsoft.com/office/drawing/2014/main" id="{00000000-0008-0000-1700-000052290100}"/>
            </a:ext>
          </a:extLst>
        </xdr:cNvPr>
        <xdr:cNvSpPr>
          <a:spLocks noChangeShapeType="1"/>
        </xdr:cNvSpPr>
      </xdr:nvSpPr>
      <xdr:spPr bwMode="auto">
        <a:xfrm>
          <a:off x="2362200" y="60483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38100</xdr:colOff>
      <xdr:row>36</xdr:row>
      <xdr:rowOff>828675</xdr:rowOff>
    </xdr:from>
    <xdr:to>
      <xdr:col>9</xdr:col>
      <xdr:colOff>66675</xdr:colOff>
      <xdr:row>36</xdr:row>
      <xdr:rowOff>1095375</xdr:rowOff>
    </xdr:to>
    <xdr:sp macro="" textlink="">
      <xdr:nvSpPr>
        <xdr:cNvPr id="2150" name="Text Box 102">
          <a:extLst>
            <a:ext uri="{FF2B5EF4-FFF2-40B4-BE49-F238E27FC236}">
              <a16:creationId xmlns:a16="http://schemas.microsoft.com/office/drawing/2014/main" id="{00000000-0008-0000-1700-000066080000}"/>
            </a:ext>
          </a:extLst>
        </xdr:cNvPr>
        <xdr:cNvSpPr txBox="1">
          <a:spLocks noChangeArrowheads="1"/>
        </xdr:cNvSpPr>
      </xdr:nvSpPr>
      <xdr:spPr bwMode="auto">
        <a:xfrm>
          <a:off x="2867025" y="9229725"/>
          <a:ext cx="43815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675</a:t>
          </a:r>
        </a:p>
      </xdr:txBody>
    </xdr:sp>
    <xdr:clientData/>
  </xdr:twoCellAnchor>
  <xdr:twoCellAnchor>
    <xdr:from>
      <xdr:col>5</xdr:col>
      <xdr:colOff>190500</xdr:colOff>
      <xdr:row>12</xdr:row>
      <xdr:rowOff>1457325</xdr:rowOff>
    </xdr:from>
    <xdr:to>
      <xdr:col>5</xdr:col>
      <xdr:colOff>285750</xdr:colOff>
      <xdr:row>12</xdr:row>
      <xdr:rowOff>1552575</xdr:rowOff>
    </xdr:to>
    <xdr:sp macro="" textlink="">
      <xdr:nvSpPr>
        <xdr:cNvPr id="76116" name="AutoShape 110">
          <a:extLst>
            <a:ext uri="{FF2B5EF4-FFF2-40B4-BE49-F238E27FC236}">
              <a16:creationId xmlns:a16="http://schemas.microsoft.com/office/drawing/2014/main" id="{00000000-0008-0000-1700-000054290100}"/>
            </a:ext>
          </a:extLst>
        </xdr:cNvPr>
        <xdr:cNvSpPr>
          <a:spLocks noChangeArrowheads="1"/>
        </xdr:cNvSpPr>
      </xdr:nvSpPr>
      <xdr:spPr bwMode="auto">
        <a:xfrm>
          <a:off x="1800225" y="38957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381000</xdr:colOff>
      <xdr:row>12</xdr:row>
      <xdr:rowOff>1609725</xdr:rowOff>
    </xdr:from>
    <xdr:to>
      <xdr:col>5</xdr:col>
      <xdr:colOff>476250</xdr:colOff>
      <xdr:row>13</xdr:row>
      <xdr:rowOff>76200</xdr:rowOff>
    </xdr:to>
    <xdr:sp macro="" textlink="">
      <xdr:nvSpPr>
        <xdr:cNvPr id="76117" name="AutoShape 111">
          <a:extLst>
            <a:ext uri="{FF2B5EF4-FFF2-40B4-BE49-F238E27FC236}">
              <a16:creationId xmlns:a16="http://schemas.microsoft.com/office/drawing/2014/main" id="{00000000-0008-0000-1700-000055290100}"/>
            </a:ext>
          </a:extLst>
        </xdr:cNvPr>
        <xdr:cNvSpPr>
          <a:spLocks noChangeArrowheads="1"/>
        </xdr:cNvSpPr>
      </xdr:nvSpPr>
      <xdr:spPr bwMode="auto">
        <a:xfrm>
          <a:off x="1990725" y="40481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381000</xdr:colOff>
      <xdr:row>12</xdr:row>
      <xdr:rowOff>1457325</xdr:rowOff>
    </xdr:from>
    <xdr:to>
      <xdr:col>5</xdr:col>
      <xdr:colOff>476250</xdr:colOff>
      <xdr:row>12</xdr:row>
      <xdr:rowOff>1552575</xdr:rowOff>
    </xdr:to>
    <xdr:sp macro="" textlink="">
      <xdr:nvSpPr>
        <xdr:cNvPr id="76118" name="AutoShape 112">
          <a:extLst>
            <a:ext uri="{FF2B5EF4-FFF2-40B4-BE49-F238E27FC236}">
              <a16:creationId xmlns:a16="http://schemas.microsoft.com/office/drawing/2014/main" id="{00000000-0008-0000-1700-000056290100}"/>
            </a:ext>
          </a:extLst>
        </xdr:cNvPr>
        <xdr:cNvSpPr>
          <a:spLocks noChangeArrowheads="1"/>
        </xdr:cNvSpPr>
      </xdr:nvSpPr>
      <xdr:spPr bwMode="auto">
        <a:xfrm>
          <a:off x="1990725" y="38957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180975</xdr:colOff>
      <xdr:row>37</xdr:row>
      <xdr:rowOff>47625</xdr:rowOff>
    </xdr:from>
    <xdr:to>
      <xdr:col>5</xdr:col>
      <xdr:colOff>276225</xdr:colOff>
      <xdr:row>37</xdr:row>
      <xdr:rowOff>142875</xdr:rowOff>
    </xdr:to>
    <xdr:sp macro="" textlink="">
      <xdr:nvSpPr>
        <xdr:cNvPr id="76119" name="AutoShape 113">
          <a:extLst>
            <a:ext uri="{FF2B5EF4-FFF2-40B4-BE49-F238E27FC236}">
              <a16:creationId xmlns:a16="http://schemas.microsoft.com/office/drawing/2014/main" id="{00000000-0008-0000-1700-000057290100}"/>
            </a:ext>
          </a:extLst>
        </xdr:cNvPr>
        <xdr:cNvSpPr>
          <a:spLocks noChangeArrowheads="1"/>
        </xdr:cNvSpPr>
      </xdr:nvSpPr>
      <xdr:spPr bwMode="auto">
        <a:xfrm>
          <a:off x="1790700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171450</xdr:colOff>
      <xdr:row>36</xdr:row>
      <xdr:rowOff>1666875</xdr:rowOff>
    </xdr:from>
    <xdr:to>
      <xdr:col>5</xdr:col>
      <xdr:colOff>266700</xdr:colOff>
      <xdr:row>36</xdr:row>
      <xdr:rowOff>1762125</xdr:rowOff>
    </xdr:to>
    <xdr:sp macro="" textlink="">
      <xdr:nvSpPr>
        <xdr:cNvPr id="76120" name="AutoShape 114">
          <a:extLst>
            <a:ext uri="{FF2B5EF4-FFF2-40B4-BE49-F238E27FC236}">
              <a16:creationId xmlns:a16="http://schemas.microsoft.com/office/drawing/2014/main" id="{00000000-0008-0000-1700-000058290100}"/>
            </a:ext>
          </a:extLst>
        </xdr:cNvPr>
        <xdr:cNvSpPr>
          <a:spLocks noChangeArrowheads="1"/>
        </xdr:cNvSpPr>
      </xdr:nvSpPr>
      <xdr:spPr bwMode="auto">
        <a:xfrm>
          <a:off x="17811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361950</xdr:colOff>
      <xdr:row>37</xdr:row>
      <xdr:rowOff>47625</xdr:rowOff>
    </xdr:from>
    <xdr:to>
      <xdr:col>5</xdr:col>
      <xdr:colOff>457200</xdr:colOff>
      <xdr:row>37</xdr:row>
      <xdr:rowOff>142875</xdr:rowOff>
    </xdr:to>
    <xdr:sp macro="" textlink="">
      <xdr:nvSpPr>
        <xdr:cNvPr id="76121" name="AutoShape 115">
          <a:extLst>
            <a:ext uri="{FF2B5EF4-FFF2-40B4-BE49-F238E27FC236}">
              <a16:creationId xmlns:a16="http://schemas.microsoft.com/office/drawing/2014/main" id="{00000000-0008-0000-1700-000059290100}"/>
            </a:ext>
          </a:extLst>
        </xdr:cNvPr>
        <xdr:cNvSpPr>
          <a:spLocks noChangeArrowheads="1"/>
        </xdr:cNvSpPr>
      </xdr:nvSpPr>
      <xdr:spPr bwMode="auto">
        <a:xfrm>
          <a:off x="19716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361950</xdr:colOff>
      <xdr:row>36</xdr:row>
      <xdr:rowOff>1666875</xdr:rowOff>
    </xdr:from>
    <xdr:to>
      <xdr:col>5</xdr:col>
      <xdr:colOff>457200</xdr:colOff>
      <xdr:row>36</xdr:row>
      <xdr:rowOff>1762125</xdr:rowOff>
    </xdr:to>
    <xdr:sp macro="" textlink="">
      <xdr:nvSpPr>
        <xdr:cNvPr id="76122" name="AutoShape 116">
          <a:extLst>
            <a:ext uri="{FF2B5EF4-FFF2-40B4-BE49-F238E27FC236}">
              <a16:creationId xmlns:a16="http://schemas.microsoft.com/office/drawing/2014/main" id="{00000000-0008-0000-1700-00005A290100}"/>
            </a:ext>
          </a:extLst>
        </xdr:cNvPr>
        <xdr:cNvSpPr>
          <a:spLocks noChangeArrowheads="1"/>
        </xdr:cNvSpPr>
      </xdr:nvSpPr>
      <xdr:spPr bwMode="auto">
        <a:xfrm>
          <a:off x="19716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0</xdr:rowOff>
    </xdr:from>
    <xdr:to>
      <xdr:col>1</xdr:col>
      <xdr:colOff>295275</xdr:colOff>
      <xdr:row>0</xdr:row>
      <xdr:rowOff>0</xdr:rowOff>
    </xdr:to>
    <xdr:sp macro="" textlink="">
      <xdr:nvSpPr>
        <xdr:cNvPr id="70159" name="Line 1">
          <a:extLst>
            <a:ext uri="{FF2B5EF4-FFF2-40B4-BE49-F238E27FC236}">
              <a16:creationId xmlns:a16="http://schemas.microsoft.com/office/drawing/2014/main" id="{00000000-0008-0000-1800-00000F120100}"/>
            </a:ext>
          </a:extLst>
        </xdr:cNvPr>
        <xdr:cNvSpPr>
          <a:spLocks noChangeShapeType="1"/>
        </xdr:cNvSpPr>
      </xdr:nvSpPr>
      <xdr:spPr bwMode="auto">
        <a:xfrm>
          <a:off x="228600" y="0"/>
          <a:ext cx="781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361950</xdr:colOff>
      <xdr:row>8</xdr:row>
      <xdr:rowOff>0</xdr:rowOff>
    </xdr:from>
    <xdr:to>
      <xdr:col>5</xdr:col>
      <xdr:colOff>200025</xdr:colOff>
      <xdr:row>17</xdr:row>
      <xdr:rowOff>38100</xdr:rowOff>
    </xdr:to>
    <xdr:pic>
      <xdr:nvPicPr>
        <xdr:cNvPr id="70160" name="Picture 29">
          <a:extLst>
            <a:ext uri="{FF2B5EF4-FFF2-40B4-BE49-F238E27FC236}">
              <a16:creationId xmlns:a16="http://schemas.microsoft.com/office/drawing/2014/main" id="{00000000-0008-0000-1800-0000101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2209800"/>
          <a:ext cx="3409950" cy="2524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238125</xdr:colOff>
      <xdr:row>12</xdr:row>
      <xdr:rowOff>171450</xdr:rowOff>
    </xdr:from>
    <xdr:to>
      <xdr:col>0</xdr:col>
      <xdr:colOff>628650</xdr:colOff>
      <xdr:row>13</xdr:row>
      <xdr:rowOff>114300</xdr:rowOff>
    </xdr:to>
    <xdr:sp macro="" textlink="">
      <xdr:nvSpPr>
        <xdr:cNvPr id="15390" name="Text Box 30">
          <a:extLst>
            <a:ext uri="{FF2B5EF4-FFF2-40B4-BE49-F238E27FC236}">
              <a16:creationId xmlns:a16="http://schemas.microsoft.com/office/drawing/2014/main" id="{00000000-0008-0000-1800-00001E3C0000}"/>
            </a:ext>
          </a:extLst>
        </xdr:cNvPr>
        <xdr:cNvSpPr txBox="1">
          <a:spLocks noChangeArrowheads="1"/>
        </xdr:cNvSpPr>
      </xdr:nvSpPr>
      <xdr:spPr bwMode="auto">
        <a:xfrm>
          <a:off x="238125" y="3486150"/>
          <a:ext cx="3905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500</a:t>
          </a:r>
        </a:p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00</a:t>
          </a:r>
        </a:p>
      </xdr:txBody>
    </xdr:sp>
    <xdr:clientData/>
  </xdr:twoCellAnchor>
  <xdr:twoCellAnchor>
    <xdr:from>
      <xdr:col>2</xdr:col>
      <xdr:colOff>609600</xdr:colOff>
      <xdr:row>16</xdr:row>
      <xdr:rowOff>142875</xdr:rowOff>
    </xdr:from>
    <xdr:to>
      <xdr:col>3</xdr:col>
      <xdr:colOff>390525</xdr:colOff>
      <xdr:row>17</xdr:row>
      <xdr:rowOff>57150</xdr:rowOff>
    </xdr:to>
    <xdr:sp macro="" textlink="">
      <xdr:nvSpPr>
        <xdr:cNvPr id="19460" name="Text Box 31">
          <a:extLst>
            <a:ext uri="{FF2B5EF4-FFF2-40B4-BE49-F238E27FC236}">
              <a16:creationId xmlns:a16="http://schemas.microsoft.com/office/drawing/2014/main" id="{00000000-0008-0000-1800-0000044C0000}"/>
            </a:ext>
          </a:extLst>
        </xdr:cNvPr>
        <xdr:cNvSpPr txBox="1">
          <a:spLocks noChangeArrowheads="1"/>
        </xdr:cNvSpPr>
      </xdr:nvSpPr>
      <xdr:spPr bwMode="auto">
        <a:xfrm>
          <a:off x="2038350" y="4562475"/>
          <a:ext cx="495300" cy="190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550</a:t>
          </a:r>
        </a:p>
      </xdr:txBody>
    </xdr:sp>
    <xdr:clientData/>
  </xdr:twoCellAnchor>
  <xdr:twoCellAnchor>
    <xdr:from>
      <xdr:col>2</xdr:col>
      <xdr:colOff>666750</xdr:colOff>
      <xdr:row>14</xdr:row>
      <xdr:rowOff>257175</xdr:rowOff>
    </xdr:from>
    <xdr:to>
      <xdr:col>3</xdr:col>
      <xdr:colOff>390525</xdr:colOff>
      <xdr:row>15</xdr:row>
      <xdr:rowOff>142875</xdr:rowOff>
    </xdr:to>
    <xdr:sp macro="" textlink="">
      <xdr:nvSpPr>
        <xdr:cNvPr id="19461" name="Text Box 32">
          <a:extLst>
            <a:ext uri="{FF2B5EF4-FFF2-40B4-BE49-F238E27FC236}">
              <a16:creationId xmlns:a16="http://schemas.microsoft.com/office/drawing/2014/main" id="{00000000-0008-0000-1800-0000054C0000}"/>
            </a:ext>
          </a:extLst>
        </xdr:cNvPr>
        <xdr:cNvSpPr txBox="1">
          <a:spLocks noChangeArrowheads="1"/>
        </xdr:cNvSpPr>
      </xdr:nvSpPr>
      <xdr:spPr bwMode="auto">
        <a:xfrm>
          <a:off x="2095500" y="4124325"/>
          <a:ext cx="4381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500</a:t>
          </a:r>
        </a:p>
      </xdr:txBody>
    </xdr:sp>
    <xdr:clientData/>
  </xdr:twoCellAnchor>
  <xdr:twoCellAnchor>
    <xdr:from>
      <xdr:col>2</xdr:col>
      <xdr:colOff>609600</xdr:colOff>
      <xdr:row>7</xdr:row>
      <xdr:rowOff>76200</xdr:rowOff>
    </xdr:from>
    <xdr:to>
      <xdr:col>3</xdr:col>
      <xdr:colOff>180975</xdr:colOff>
      <xdr:row>7</xdr:row>
      <xdr:rowOff>247650</xdr:rowOff>
    </xdr:to>
    <xdr:sp macro="" textlink="">
      <xdr:nvSpPr>
        <xdr:cNvPr id="15393" name="Text Box 33">
          <a:extLst>
            <a:ext uri="{FF2B5EF4-FFF2-40B4-BE49-F238E27FC236}">
              <a16:creationId xmlns:a16="http://schemas.microsoft.com/office/drawing/2014/main" id="{00000000-0008-0000-1800-0000213C0000}"/>
            </a:ext>
          </a:extLst>
        </xdr:cNvPr>
        <xdr:cNvSpPr txBox="1">
          <a:spLocks noChangeArrowheads="1"/>
        </xdr:cNvSpPr>
      </xdr:nvSpPr>
      <xdr:spPr bwMode="auto">
        <a:xfrm>
          <a:off x="2038350" y="2009775"/>
          <a:ext cx="2857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450</a:t>
          </a:r>
        </a:p>
      </xdr:txBody>
    </xdr:sp>
    <xdr:clientData/>
  </xdr:twoCellAnchor>
  <xdr:twoCellAnchor>
    <xdr:from>
      <xdr:col>2</xdr:col>
      <xdr:colOff>571500</xdr:colOff>
      <xdr:row>8</xdr:row>
      <xdr:rowOff>219075</xdr:rowOff>
    </xdr:from>
    <xdr:to>
      <xdr:col>3</xdr:col>
      <xdr:colOff>304800</xdr:colOff>
      <xdr:row>9</xdr:row>
      <xdr:rowOff>133350</xdr:rowOff>
    </xdr:to>
    <xdr:sp macro="" textlink="">
      <xdr:nvSpPr>
        <xdr:cNvPr id="15394" name="Text Box 34">
          <a:extLst>
            <a:ext uri="{FF2B5EF4-FFF2-40B4-BE49-F238E27FC236}">
              <a16:creationId xmlns:a16="http://schemas.microsoft.com/office/drawing/2014/main" id="{00000000-0008-0000-1800-0000223C0000}"/>
            </a:ext>
          </a:extLst>
        </xdr:cNvPr>
        <xdr:cNvSpPr txBox="1">
          <a:spLocks noChangeArrowheads="1"/>
        </xdr:cNvSpPr>
      </xdr:nvSpPr>
      <xdr:spPr bwMode="auto">
        <a:xfrm>
          <a:off x="2000250" y="2428875"/>
          <a:ext cx="447675" cy="190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650</a:t>
          </a:r>
        </a:p>
      </xdr:txBody>
    </xdr:sp>
    <xdr:clientData/>
  </xdr:twoCellAnchor>
  <xdr:twoCellAnchor editAs="oneCell">
    <xdr:from>
      <xdr:col>0</xdr:col>
      <xdr:colOff>361950</xdr:colOff>
      <xdr:row>30</xdr:row>
      <xdr:rowOff>0</xdr:rowOff>
    </xdr:from>
    <xdr:to>
      <xdr:col>5</xdr:col>
      <xdr:colOff>200025</xdr:colOff>
      <xdr:row>53</xdr:row>
      <xdr:rowOff>38100</xdr:rowOff>
    </xdr:to>
    <xdr:pic>
      <xdr:nvPicPr>
        <xdr:cNvPr id="70166" name="Picture 35">
          <a:extLst>
            <a:ext uri="{FF2B5EF4-FFF2-40B4-BE49-F238E27FC236}">
              <a16:creationId xmlns:a16="http://schemas.microsoft.com/office/drawing/2014/main" id="{00000000-0008-0000-1800-0000161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6076950"/>
          <a:ext cx="3409950" cy="2524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238125</xdr:colOff>
      <xdr:row>34</xdr:row>
      <xdr:rowOff>171450</xdr:rowOff>
    </xdr:from>
    <xdr:to>
      <xdr:col>0</xdr:col>
      <xdr:colOff>628650</xdr:colOff>
      <xdr:row>35</xdr:row>
      <xdr:rowOff>114300</xdr:rowOff>
    </xdr:to>
    <xdr:sp macro="" textlink="">
      <xdr:nvSpPr>
        <xdr:cNvPr id="15396" name="Text Box 36">
          <a:extLst>
            <a:ext uri="{FF2B5EF4-FFF2-40B4-BE49-F238E27FC236}">
              <a16:creationId xmlns:a16="http://schemas.microsoft.com/office/drawing/2014/main" id="{00000000-0008-0000-1800-0000243C0000}"/>
            </a:ext>
          </a:extLst>
        </xdr:cNvPr>
        <xdr:cNvSpPr txBox="1">
          <a:spLocks noChangeArrowheads="1"/>
        </xdr:cNvSpPr>
      </xdr:nvSpPr>
      <xdr:spPr bwMode="auto">
        <a:xfrm>
          <a:off x="238125" y="6076950"/>
          <a:ext cx="390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1200</a:t>
          </a:r>
        </a:p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00</a:t>
          </a:r>
        </a:p>
      </xdr:txBody>
    </xdr:sp>
    <xdr:clientData/>
  </xdr:twoCellAnchor>
  <xdr:twoCellAnchor>
    <xdr:from>
      <xdr:col>2</xdr:col>
      <xdr:colOff>619125</xdr:colOff>
      <xdr:row>38</xdr:row>
      <xdr:rowOff>142875</xdr:rowOff>
    </xdr:from>
    <xdr:to>
      <xdr:col>3</xdr:col>
      <xdr:colOff>361950</xdr:colOff>
      <xdr:row>39</xdr:row>
      <xdr:rowOff>57150</xdr:rowOff>
    </xdr:to>
    <xdr:sp macro="" textlink="">
      <xdr:nvSpPr>
        <xdr:cNvPr id="15397" name="Text Box 37">
          <a:extLst>
            <a:ext uri="{FF2B5EF4-FFF2-40B4-BE49-F238E27FC236}">
              <a16:creationId xmlns:a16="http://schemas.microsoft.com/office/drawing/2014/main" id="{00000000-0008-0000-1800-0000253C0000}"/>
            </a:ext>
          </a:extLst>
        </xdr:cNvPr>
        <xdr:cNvSpPr txBox="1">
          <a:spLocks noChangeArrowheads="1"/>
        </xdr:cNvSpPr>
      </xdr:nvSpPr>
      <xdr:spPr bwMode="auto">
        <a:xfrm>
          <a:off x="2047875" y="6076950"/>
          <a:ext cx="4572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1200</a:t>
          </a:r>
        </a:p>
      </xdr:txBody>
    </xdr:sp>
    <xdr:clientData/>
  </xdr:twoCellAnchor>
  <xdr:twoCellAnchor>
    <xdr:from>
      <xdr:col>2</xdr:col>
      <xdr:colOff>666750</xdr:colOff>
      <xdr:row>36</xdr:row>
      <xdr:rowOff>257175</xdr:rowOff>
    </xdr:from>
    <xdr:to>
      <xdr:col>3</xdr:col>
      <xdr:colOff>333375</xdr:colOff>
      <xdr:row>37</xdr:row>
      <xdr:rowOff>142875</xdr:rowOff>
    </xdr:to>
    <xdr:sp macro="" textlink="">
      <xdr:nvSpPr>
        <xdr:cNvPr id="15398" name="Text Box 38">
          <a:extLst>
            <a:ext uri="{FF2B5EF4-FFF2-40B4-BE49-F238E27FC236}">
              <a16:creationId xmlns:a16="http://schemas.microsoft.com/office/drawing/2014/main" id="{00000000-0008-0000-1800-0000263C0000}"/>
            </a:ext>
          </a:extLst>
        </xdr:cNvPr>
        <xdr:cNvSpPr txBox="1">
          <a:spLocks noChangeArrowheads="1"/>
        </xdr:cNvSpPr>
      </xdr:nvSpPr>
      <xdr:spPr bwMode="auto">
        <a:xfrm>
          <a:off x="2095500" y="6076950"/>
          <a:ext cx="381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1000</a:t>
          </a:r>
        </a:p>
      </xdr:txBody>
    </xdr:sp>
    <xdr:clientData/>
  </xdr:twoCellAnchor>
  <xdr:twoCellAnchor>
    <xdr:from>
      <xdr:col>2</xdr:col>
      <xdr:colOff>609600</xdr:colOff>
      <xdr:row>29</xdr:row>
      <xdr:rowOff>76200</xdr:rowOff>
    </xdr:from>
    <xdr:to>
      <xdr:col>3</xdr:col>
      <xdr:colOff>180975</xdr:colOff>
      <xdr:row>29</xdr:row>
      <xdr:rowOff>247650</xdr:rowOff>
    </xdr:to>
    <xdr:sp macro="" textlink="">
      <xdr:nvSpPr>
        <xdr:cNvPr id="15399" name="Text Box 39">
          <a:extLst>
            <a:ext uri="{FF2B5EF4-FFF2-40B4-BE49-F238E27FC236}">
              <a16:creationId xmlns:a16="http://schemas.microsoft.com/office/drawing/2014/main" id="{00000000-0008-0000-1800-0000273C0000}"/>
            </a:ext>
          </a:extLst>
        </xdr:cNvPr>
        <xdr:cNvSpPr txBox="1">
          <a:spLocks noChangeArrowheads="1"/>
        </xdr:cNvSpPr>
      </xdr:nvSpPr>
      <xdr:spPr bwMode="auto">
        <a:xfrm>
          <a:off x="2038350" y="6076950"/>
          <a:ext cx="285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550</a:t>
          </a:r>
        </a:p>
      </xdr:txBody>
    </xdr:sp>
    <xdr:clientData/>
  </xdr:twoCellAnchor>
  <xdr:twoCellAnchor>
    <xdr:from>
      <xdr:col>2</xdr:col>
      <xdr:colOff>571500</xdr:colOff>
      <xdr:row>30</xdr:row>
      <xdr:rowOff>219075</xdr:rowOff>
    </xdr:from>
    <xdr:to>
      <xdr:col>3</xdr:col>
      <xdr:colOff>304800</xdr:colOff>
      <xdr:row>31</xdr:row>
      <xdr:rowOff>133350</xdr:rowOff>
    </xdr:to>
    <xdr:sp macro="" textlink="">
      <xdr:nvSpPr>
        <xdr:cNvPr id="15400" name="Text Box 40">
          <a:extLst>
            <a:ext uri="{FF2B5EF4-FFF2-40B4-BE49-F238E27FC236}">
              <a16:creationId xmlns:a16="http://schemas.microsoft.com/office/drawing/2014/main" id="{00000000-0008-0000-1800-0000283C0000}"/>
            </a:ext>
          </a:extLst>
        </xdr:cNvPr>
        <xdr:cNvSpPr txBox="1">
          <a:spLocks noChangeArrowheads="1"/>
        </xdr:cNvSpPr>
      </xdr:nvSpPr>
      <xdr:spPr bwMode="auto">
        <a:xfrm>
          <a:off x="2000250" y="6076950"/>
          <a:ext cx="4476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1700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620;&#46308;&#50644;&#51648;&#45768;&#50612;&#47553;\&#51032;&#54924;&#51204;&#44592;&#47784;&#51088;&#48516;&#47532;\&#51032;&#54924;&#51204;&#44592;&#47784;&#51088;&#48516;&#47532;-&#51204;&#4459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(갑지)"/>
      <sheetName val="원가계산"/>
      <sheetName val="수수료"/>
      <sheetName val="집계표"/>
      <sheetName val="Chart1"/>
      <sheetName val="내역서"/>
      <sheetName val="작업부산물"/>
      <sheetName val="표지2 (2)"/>
      <sheetName val="관급(도급자)"/>
      <sheetName val="관급(관급자)"/>
      <sheetName val="표지2"/>
      <sheetName val="일위집계"/>
      <sheetName val="전기일위"/>
      <sheetName val="중기사용료--"/>
      <sheetName val="중기사용료"/>
      <sheetName val="단가산출"/>
      <sheetName val="기계경비"/>
      <sheetName val="표지4-"/>
      <sheetName val="일위산근"/>
      <sheetName val="표지3"/>
      <sheetName val="3.사회과학관(산)"/>
      <sheetName val="표지4"/>
      <sheetName val="터파기"/>
      <sheetName val="가로등 (2)"/>
      <sheetName val="1-3.본관소화기(산)"/>
      <sheetName val="1-4.동력"/>
      <sheetName val="1-4.동력(산)"/>
      <sheetName val="1.옥외"/>
      <sheetName val="1.옥외(산)"/>
      <sheetName val="고재산출(STS)"/>
      <sheetName val="표지5 (3)"/>
      <sheetName val="고재"/>
      <sheetName val="고재산출"/>
      <sheetName val="고재산출(고철)"/>
      <sheetName val="표지5"/>
      <sheetName val="단가"/>
      <sheetName val="표지5 (2)"/>
      <sheetName val="폐기물처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9">
          <cell r="G9">
            <v>12464</v>
          </cell>
        </row>
        <row r="14">
          <cell r="G14">
            <v>8016</v>
          </cell>
        </row>
        <row r="20">
          <cell r="G20">
            <v>42257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view="pageBreakPreview" workbookViewId="0">
      <selection activeCell="A11" sqref="A11:M11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">
        <v>1811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356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9" t="s">
        <v>1779</v>
      </c>
      <c r="B11" s="579"/>
      <c r="C11" s="579"/>
      <c r="D11" s="579"/>
      <c r="E11" s="579"/>
      <c r="F11" s="579"/>
      <c r="G11" s="579"/>
      <c r="H11" s="579"/>
      <c r="I11" s="579"/>
      <c r="J11" s="579"/>
      <c r="K11" s="579"/>
      <c r="L11" s="579"/>
      <c r="M11" s="579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/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2"/>
  <sheetViews>
    <sheetView tabSelected="1" view="pageBreakPreview" topLeftCell="A4" workbookViewId="0">
      <selection activeCell="H15" sqref="H15"/>
    </sheetView>
  </sheetViews>
  <sheetFormatPr defaultRowHeight="27"/>
  <cols>
    <col min="1" max="1" width="7.33203125" style="135" customWidth="1"/>
    <col min="2" max="3" width="7.21875" style="135" customWidth="1"/>
    <col min="4" max="4" width="7.33203125" style="135" customWidth="1"/>
    <col min="5" max="6" width="7.21875" style="135" customWidth="1"/>
    <col min="7" max="7" width="7.33203125" style="135" customWidth="1"/>
    <col min="8" max="9" width="7" style="135" customWidth="1"/>
    <col min="10" max="10" width="7.33203125" style="135" customWidth="1"/>
    <col min="11" max="12" width="16.77734375" style="135" customWidth="1"/>
    <col min="13" max="13" width="7.77734375" style="135" customWidth="1"/>
    <col min="14" max="14" width="6.77734375" style="135" customWidth="1"/>
    <col min="15" max="15" width="2.77734375" style="135" customWidth="1"/>
    <col min="16" max="16384" width="8.88671875" style="135"/>
  </cols>
  <sheetData>
    <row r="1" spans="1:17" ht="45" customHeight="1" thickBot="1">
      <c r="A1" s="586" t="s">
        <v>357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</row>
    <row r="2" spans="1:17" ht="51.95" customHeight="1" thickBot="1">
      <c r="A2" s="517" t="s">
        <v>1570</v>
      </c>
      <c r="B2" s="587"/>
      <c r="C2" s="587"/>
      <c r="D2" s="517" t="s">
        <v>1571</v>
      </c>
      <c r="E2" s="587"/>
      <c r="F2" s="587"/>
      <c r="G2" s="517" t="s">
        <v>1572</v>
      </c>
      <c r="H2" s="587"/>
      <c r="I2" s="587"/>
      <c r="J2" s="517" t="s">
        <v>1573</v>
      </c>
      <c r="K2" s="517"/>
      <c r="L2" s="588" t="s">
        <v>1780</v>
      </c>
      <c r="M2" s="588"/>
      <c r="N2" s="588"/>
      <c r="O2" s="588"/>
    </row>
    <row r="3" spans="1:17" ht="20.100000000000001" customHeight="1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  <c r="Q3" s="184"/>
    </row>
    <row r="4" spans="1:17">
      <c r="A4" s="139" t="s">
        <v>1776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8"/>
      <c r="Q4" s="184"/>
    </row>
    <row r="5" spans="1:17" ht="20.100000000000001" customHeight="1">
      <c r="A5" s="136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8"/>
      <c r="Q5" s="184"/>
    </row>
    <row r="6" spans="1:17" s="143" customFormat="1">
      <c r="A6" s="140"/>
      <c r="B6" s="583" t="str">
        <f>표지1!A3</f>
        <v>두류지하도상가 비상발전기 설치 전기공사</v>
      </c>
      <c r="C6" s="583"/>
      <c r="D6" s="583"/>
      <c r="E6" s="583"/>
      <c r="F6" s="583"/>
      <c r="G6" s="583"/>
      <c r="H6" s="583"/>
      <c r="I6" s="583"/>
      <c r="J6" s="583"/>
      <c r="K6" s="583"/>
      <c r="L6" s="583"/>
      <c r="M6" s="583"/>
      <c r="N6" s="141"/>
      <c r="O6" s="142"/>
      <c r="Q6" s="184"/>
    </row>
    <row r="7" spans="1:17" s="143" customFormat="1" ht="20.100000000000001" customHeight="1">
      <c r="A7" s="140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2"/>
      <c r="Q7" s="184"/>
    </row>
    <row r="8" spans="1:17" s="143" customFormat="1">
      <c r="A8" s="145"/>
      <c r="B8" s="2" t="s">
        <v>358</v>
      </c>
      <c r="C8" s="589" t="s">
        <v>730</v>
      </c>
      <c r="D8" s="589"/>
      <c r="E8" s="589"/>
      <c r="F8" s="589"/>
      <c r="G8" s="589"/>
      <c r="H8" s="589"/>
      <c r="I8" s="589"/>
      <c r="J8" s="589"/>
      <c r="K8" s="589"/>
      <c r="L8" s="589"/>
      <c r="M8" s="589"/>
      <c r="N8" s="507"/>
      <c r="O8" s="146"/>
      <c r="Q8" s="184"/>
    </row>
    <row r="9" spans="1:17" s="143" customFormat="1">
      <c r="A9" s="145"/>
      <c r="B9" s="542"/>
      <c r="C9" s="543"/>
      <c r="D9" s="543"/>
      <c r="E9" s="543"/>
      <c r="F9" s="543"/>
      <c r="G9" s="543"/>
      <c r="H9" s="543"/>
      <c r="I9" s="543"/>
      <c r="J9" s="543"/>
      <c r="K9" s="543"/>
      <c r="L9" s="543"/>
      <c r="M9" s="543"/>
      <c r="N9" s="541"/>
      <c r="O9" s="146"/>
      <c r="Q9" s="184"/>
    </row>
    <row r="10" spans="1:17" s="143" customFormat="1">
      <c r="A10" s="145"/>
      <c r="B10" s="147"/>
      <c r="C10" s="584"/>
      <c r="D10" s="585"/>
      <c r="E10" s="585"/>
      <c r="F10" s="585"/>
      <c r="G10" s="585"/>
      <c r="H10" s="585"/>
      <c r="I10" s="585"/>
      <c r="J10" s="585"/>
      <c r="K10" s="585"/>
      <c r="L10" s="585"/>
      <c r="M10" s="585"/>
      <c r="N10" s="585"/>
      <c r="O10" s="146"/>
    </row>
    <row r="11" spans="1:17" s="143" customFormat="1">
      <c r="A11" s="145"/>
      <c r="B11" s="582" t="str">
        <f ca="1">"도급금액 :  일금"&amp;NUMBERSTRING(K11,1)&amp;"원정"</f>
        <v>도급금액 :  일금이억사천팔백육만팔천원정</v>
      </c>
      <c r="C11" s="582"/>
      <c r="D11" s="582"/>
      <c r="E11" s="582"/>
      <c r="F11" s="582"/>
      <c r="G11" s="582"/>
      <c r="H11" s="582"/>
      <c r="I11" s="582"/>
      <c r="J11" s="582"/>
      <c r="K11" s="377">
        <f ca="1">K13+K15</f>
        <v>248068000.27272728</v>
      </c>
      <c r="M11" s="148"/>
      <c r="N11" s="148"/>
      <c r="O11" s="149"/>
    </row>
    <row r="12" spans="1:17" s="143" customFormat="1" ht="24.95" customHeight="1">
      <c r="A12" s="150"/>
      <c r="B12" s="151"/>
      <c r="C12" s="151"/>
      <c r="D12" s="151"/>
      <c r="E12" s="151"/>
      <c r="F12" s="151"/>
      <c r="G12" s="151"/>
      <c r="H12" s="151"/>
      <c r="I12" s="151"/>
      <c r="J12" s="151"/>
      <c r="K12" s="378"/>
      <c r="L12" s="151"/>
      <c r="M12" s="151"/>
      <c r="N12" s="151"/>
      <c r="O12" s="146"/>
    </row>
    <row r="13" spans="1:17" s="143" customFormat="1">
      <c r="A13" s="145"/>
      <c r="B13" s="147" t="s">
        <v>361</v>
      </c>
      <c r="C13" s="580" t="s">
        <v>359</v>
      </c>
      <c r="D13" s="581"/>
      <c r="E13" s="581"/>
      <c r="F13" s="581"/>
      <c r="G13" s="1"/>
      <c r="H13" s="1"/>
      <c r="I13" s="152" t="s">
        <v>360</v>
      </c>
      <c r="J13" s="153"/>
      <c r="K13" s="377">
        <f ca="1">원가계산!D31</f>
        <v>248068000.27272728</v>
      </c>
      <c r="L13" s="147"/>
      <c r="M13" s="147"/>
      <c r="N13" s="147"/>
      <c r="O13" s="146"/>
    </row>
    <row r="14" spans="1:17" s="143" customFormat="1">
      <c r="A14" s="145" t="s">
        <v>362</v>
      </c>
      <c r="B14" s="147"/>
      <c r="C14" s="580" t="s">
        <v>1870</v>
      </c>
      <c r="D14" s="581"/>
      <c r="E14" s="581"/>
      <c r="F14" s="581"/>
      <c r="G14" s="1"/>
      <c r="H14" s="1"/>
      <c r="I14" s="152" t="s">
        <v>360</v>
      </c>
      <c r="J14" s="153"/>
      <c r="K14" s="377">
        <f>원가계산!D29</f>
        <v>67000000</v>
      </c>
      <c r="L14" s="147"/>
      <c r="M14" s="147"/>
      <c r="N14" s="147"/>
      <c r="O14" s="146"/>
    </row>
    <row r="15" spans="1:17" s="143" customFormat="1">
      <c r="A15" s="145"/>
      <c r="B15" s="147"/>
      <c r="C15" s="544"/>
      <c r="D15" s="545"/>
      <c r="E15" s="545"/>
      <c r="F15" s="545"/>
      <c r="G15" s="545"/>
      <c r="H15" s="545"/>
      <c r="I15" s="546"/>
      <c r="J15" s="547"/>
      <c r="K15" s="548"/>
      <c r="L15" s="147"/>
      <c r="M15" s="147"/>
      <c r="N15" s="147"/>
      <c r="O15" s="146"/>
    </row>
    <row r="16" spans="1:17" s="143" customFormat="1" ht="27" customHeight="1">
      <c r="A16" s="145"/>
      <c r="B16" s="147"/>
      <c r="C16" s="544"/>
      <c r="D16" s="545"/>
      <c r="E16" s="545"/>
      <c r="F16" s="545"/>
      <c r="G16" s="545"/>
      <c r="H16" s="545"/>
      <c r="I16" s="546"/>
      <c r="J16" s="547"/>
      <c r="K16" s="548"/>
      <c r="L16" s="147"/>
      <c r="M16" s="147"/>
      <c r="N16" s="147"/>
      <c r="O16" s="146"/>
    </row>
    <row r="17" spans="1:15" s="143" customFormat="1" ht="27" customHeight="1">
      <c r="A17" s="145"/>
      <c r="B17" s="147"/>
      <c r="C17" s="544"/>
      <c r="D17" s="545"/>
      <c r="E17" s="545"/>
      <c r="F17" s="545"/>
      <c r="G17" s="545"/>
      <c r="H17" s="545"/>
      <c r="I17" s="546"/>
      <c r="J17" s="547"/>
      <c r="K17" s="548"/>
      <c r="L17" s="147"/>
      <c r="M17" s="147"/>
      <c r="N17" s="147"/>
      <c r="O17" s="146"/>
    </row>
    <row r="18" spans="1:15" s="143" customFormat="1" ht="24.95" customHeight="1" thickBot="1">
      <c r="A18" s="154"/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6"/>
    </row>
    <row r="20" spans="1:15">
      <c r="J20" s="381"/>
      <c r="K20" s="185"/>
    </row>
    <row r="21" spans="1:15">
      <c r="J21" s="381"/>
      <c r="K21" s="185"/>
    </row>
    <row r="22" spans="1:15">
      <c r="J22" s="381"/>
      <c r="K22" s="185"/>
    </row>
  </sheetData>
  <autoFilter ref="A1:M2" xr:uid="{00000000-0009-0000-0000-000001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11">
    <mergeCell ref="A1:O1"/>
    <mergeCell ref="B2:C2"/>
    <mergeCell ref="L2:O2"/>
    <mergeCell ref="C8:M8"/>
    <mergeCell ref="E2:F2"/>
    <mergeCell ref="H2:I2"/>
    <mergeCell ref="C14:F14"/>
    <mergeCell ref="B11:J11"/>
    <mergeCell ref="C13:F13"/>
    <mergeCell ref="B6:M6"/>
    <mergeCell ref="C10:N10"/>
  </mergeCells>
  <phoneticPr fontId="4" type="noConversion"/>
  <pageMargins left="0.86614173228346458" right="0.47244094488188981" top="0.78740157480314965" bottom="0.47244094488188981" header="0" footer="0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A1:J44"/>
  <sheetViews>
    <sheetView showZeros="0" view="pageBreakPreview" topLeftCell="A10" zoomScaleSheetLayoutView="100" workbookViewId="0">
      <selection activeCell="F22" sqref="F22"/>
    </sheetView>
  </sheetViews>
  <sheetFormatPr defaultColWidth="7.109375" defaultRowHeight="12"/>
  <cols>
    <col min="1" max="1" width="6.109375" style="11" customWidth="1"/>
    <col min="2" max="2" width="6.88671875" style="12" customWidth="1"/>
    <col min="3" max="3" width="30.21875" style="11" customWidth="1"/>
    <col min="4" max="4" width="30.109375" style="13" customWidth="1"/>
    <col min="5" max="5" width="6.21875" style="14" customWidth="1"/>
    <col min="6" max="6" width="25.33203125" style="11" customWidth="1"/>
    <col min="7" max="7" width="26" style="13" customWidth="1"/>
    <col min="8" max="8" width="11.77734375" style="11" customWidth="1"/>
    <col min="9" max="9" width="24.6640625" style="11" customWidth="1"/>
    <col min="10" max="10" width="13.6640625" style="11" customWidth="1"/>
    <col min="11" max="16384" width="7.109375" style="11"/>
  </cols>
  <sheetData>
    <row r="1" spans="1:10" s="6" customFormat="1" ht="21.95" customHeight="1">
      <c r="A1" s="590" t="s">
        <v>363</v>
      </c>
      <c r="B1" s="590"/>
      <c r="C1" s="590"/>
      <c r="D1" s="590"/>
      <c r="E1" s="590"/>
      <c r="F1" s="590"/>
      <c r="G1" s="590"/>
    </row>
    <row r="2" spans="1:10" s="6" customFormat="1" ht="21.95" customHeight="1">
      <c r="A2" s="403" t="str">
        <f>집계표!A3</f>
        <v xml:space="preserve"> ■ 공사명 : 두류지하도상가 비상발전기 설치 전기공사</v>
      </c>
      <c r="B2" s="7"/>
      <c r="D2" s="8"/>
      <c r="E2" s="591" t="str">
        <f ca="1">"일금"&amp;NUMBERSTRING(D31,1)&amp;"원정(\"&amp;FIXED(D31,0,0)&amp;")"</f>
        <v>일금이억사천팔백육만팔천원정(\248,068,000)</v>
      </c>
      <c r="F2" s="591"/>
      <c r="G2" s="591"/>
    </row>
    <row r="3" spans="1:10" s="9" customFormat="1" ht="21.95" customHeight="1">
      <c r="A3" s="404" t="s">
        <v>342</v>
      </c>
      <c r="B3" s="404"/>
      <c r="C3" s="404"/>
      <c r="D3" s="405" t="s">
        <v>772</v>
      </c>
      <c r="E3" s="592" t="s">
        <v>773</v>
      </c>
      <c r="F3" s="592"/>
      <c r="G3" s="405" t="s">
        <v>774</v>
      </c>
      <c r="H3" s="6"/>
      <c r="I3" s="6"/>
    </row>
    <row r="4" spans="1:10" s="6" customFormat="1" ht="21.95" customHeight="1">
      <c r="A4" s="593" t="s">
        <v>775</v>
      </c>
      <c r="B4" s="406" t="s">
        <v>343</v>
      </c>
      <c r="C4" s="407" t="s">
        <v>776</v>
      </c>
      <c r="D4" s="411">
        <f ca="1">집계표!F11</f>
        <v>104087926</v>
      </c>
      <c r="E4" s="409"/>
      <c r="F4" s="410"/>
      <c r="G4" s="411"/>
    </row>
    <row r="5" spans="1:10" s="6" customFormat="1" ht="21.95" customHeight="1">
      <c r="A5" s="594"/>
      <c r="B5" s="412" t="s">
        <v>344</v>
      </c>
      <c r="C5" s="407" t="s">
        <v>1389</v>
      </c>
      <c r="D5" s="413"/>
      <c r="E5" s="409"/>
      <c r="F5" s="410"/>
      <c r="G5" s="410"/>
    </row>
    <row r="6" spans="1:10" s="6" customFormat="1" ht="21.95" customHeight="1">
      <c r="A6" s="594"/>
      <c r="B6" s="414" t="s">
        <v>345</v>
      </c>
      <c r="C6" s="415" t="s">
        <v>346</v>
      </c>
      <c r="D6" s="416">
        <f ca="1">SUM(D4:D5)</f>
        <v>104087926</v>
      </c>
      <c r="E6" s="409"/>
      <c r="F6" s="410"/>
      <c r="G6" s="413"/>
    </row>
    <row r="7" spans="1:10" s="6" customFormat="1" ht="21.95" customHeight="1">
      <c r="A7" s="594"/>
      <c r="B7" s="406" t="s">
        <v>347</v>
      </c>
      <c r="C7" s="407" t="s">
        <v>348</v>
      </c>
      <c r="D7" s="411">
        <f ca="1">집계표!H11</f>
        <v>57730758</v>
      </c>
      <c r="E7" s="409"/>
      <c r="F7" s="410"/>
      <c r="G7" s="411"/>
    </row>
    <row r="8" spans="1:10" s="6" customFormat="1" ht="21.95" customHeight="1">
      <c r="A8" s="594"/>
      <c r="B8" s="412" t="s">
        <v>349</v>
      </c>
      <c r="C8" s="407" t="s">
        <v>777</v>
      </c>
      <c r="D8" s="416">
        <f ca="1">INT($D$7*$E$8)</f>
        <v>10102882</v>
      </c>
      <c r="E8" s="417">
        <v>0.17499999999999999</v>
      </c>
      <c r="F8" s="410" t="s">
        <v>778</v>
      </c>
      <c r="G8" s="418"/>
    </row>
    <row r="9" spans="1:10" s="6" customFormat="1" ht="21.95" customHeight="1">
      <c r="A9" s="594"/>
      <c r="B9" s="414" t="s">
        <v>345</v>
      </c>
      <c r="C9" s="419" t="s">
        <v>350</v>
      </c>
      <c r="D9" s="416">
        <f ca="1">SUM(D7:D8)</f>
        <v>67833640</v>
      </c>
      <c r="E9" s="409"/>
      <c r="F9" s="410"/>
      <c r="G9" s="413"/>
    </row>
    <row r="10" spans="1:10" s="6" customFormat="1" ht="21.95" customHeight="1">
      <c r="A10" s="594"/>
      <c r="B10" s="406"/>
      <c r="C10" s="407" t="s">
        <v>779</v>
      </c>
      <c r="D10" s="408">
        <f>집계표!J11</f>
        <v>0</v>
      </c>
      <c r="E10" s="409"/>
      <c r="F10" s="410"/>
      <c r="G10" s="411"/>
    </row>
    <row r="11" spans="1:10" s="6" customFormat="1" ht="21.95" customHeight="1">
      <c r="A11" s="594"/>
      <c r="B11" s="412" t="s">
        <v>351</v>
      </c>
      <c r="C11" s="407" t="s">
        <v>780</v>
      </c>
      <c r="D11" s="416">
        <f ca="1">INT($D$9*$E$11)</f>
        <v>2414877</v>
      </c>
      <c r="E11" s="409">
        <v>3.56E-2</v>
      </c>
      <c r="F11" s="410" t="s">
        <v>781</v>
      </c>
      <c r="G11" s="418"/>
    </row>
    <row r="12" spans="1:10" s="6" customFormat="1" ht="21.95" customHeight="1">
      <c r="A12" s="594"/>
      <c r="B12" s="412"/>
      <c r="C12" s="407" t="s">
        <v>782</v>
      </c>
      <c r="D12" s="416">
        <f ca="1">INT($D$9*$E$12)</f>
        <v>685119</v>
      </c>
      <c r="E12" s="409">
        <v>1.01E-2</v>
      </c>
      <c r="F12" s="410" t="s">
        <v>781</v>
      </c>
      <c r="G12" s="418"/>
    </row>
    <row r="13" spans="1:10" s="6" customFormat="1" ht="21.95" customHeight="1">
      <c r="A13" s="594"/>
      <c r="B13" s="412"/>
      <c r="C13" s="407" t="s">
        <v>783</v>
      </c>
      <c r="D13" s="416">
        <f ca="1">INT($D$7*$E$13)</f>
        <v>2075420</v>
      </c>
      <c r="E13" s="505">
        <v>3.5950000000000003E-2</v>
      </c>
      <c r="F13" s="410" t="s">
        <v>778</v>
      </c>
      <c r="G13" s="418"/>
    </row>
    <row r="14" spans="1:10" s="6" customFormat="1" ht="21.95" customHeight="1">
      <c r="A14" s="594"/>
      <c r="B14" s="412"/>
      <c r="C14" s="407" t="s">
        <v>784</v>
      </c>
      <c r="D14" s="416">
        <f ca="1">INT($D$13*$E$14)</f>
        <v>272710</v>
      </c>
      <c r="E14" s="409">
        <v>0.13139999999999999</v>
      </c>
      <c r="F14" s="410" t="s">
        <v>785</v>
      </c>
      <c r="G14" s="418"/>
    </row>
    <row r="15" spans="1:10" s="6" customFormat="1" ht="21.95" customHeight="1">
      <c r="A15" s="594"/>
      <c r="B15" s="412"/>
      <c r="C15" s="407" t="s">
        <v>786</v>
      </c>
      <c r="D15" s="416">
        <f ca="1">INT($D$7*E15)</f>
        <v>2742211</v>
      </c>
      <c r="E15" s="409">
        <v>4.7500000000000001E-2</v>
      </c>
      <c r="F15" s="410" t="s">
        <v>778</v>
      </c>
      <c r="G15" s="418"/>
    </row>
    <row r="16" spans="1:10" s="6" customFormat="1" ht="21.95" customHeight="1">
      <c r="A16" s="594"/>
      <c r="B16" s="412"/>
      <c r="C16" s="407" t="s">
        <v>1569</v>
      </c>
      <c r="D16" s="425">
        <f ca="1">INT(((($D$6+$D$7)*$E$16)))</f>
        <v>3349646</v>
      </c>
      <c r="E16" s="515">
        <v>2.07E-2</v>
      </c>
      <c r="F16" s="420" t="s">
        <v>1794</v>
      </c>
      <c r="G16" s="514"/>
      <c r="I16" s="6" t="s">
        <v>1578</v>
      </c>
      <c r="J16" s="6">
        <f ca="1">INT(((($D$6+$D$7)*$E$16))*1.2)</f>
        <v>4019576</v>
      </c>
    </row>
    <row r="17" spans="1:10" s="6" customFormat="1" ht="21.95" customHeight="1">
      <c r="A17" s="594"/>
      <c r="B17" s="412"/>
      <c r="C17" s="407" t="s">
        <v>787</v>
      </c>
      <c r="D17" s="416">
        <f ca="1">INT(($D$7)*$E$17)</f>
        <v>1327807</v>
      </c>
      <c r="E17" s="417">
        <v>2.3E-2</v>
      </c>
      <c r="F17" s="420" t="s">
        <v>788</v>
      </c>
      <c r="G17" s="418"/>
      <c r="I17" s="6" t="s">
        <v>1775</v>
      </c>
      <c r="J17" s="6" t="e">
        <f ca="1">INT(((D4+D7+#REF!)*E16))</f>
        <v>#REF!</v>
      </c>
    </row>
    <row r="18" spans="1:10" s="6" customFormat="1" ht="21.95" customHeight="1">
      <c r="A18" s="594"/>
      <c r="B18" s="412"/>
      <c r="C18" s="407" t="s">
        <v>790</v>
      </c>
      <c r="D18" s="416">
        <f ca="1">INT(($D$6+$D$9)*$E$18)</f>
        <v>8596078</v>
      </c>
      <c r="E18" s="417">
        <v>0.05</v>
      </c>
      <c r="F18" s="421" t="s">
        <v>791</v>
      </c>
      <c r="G18" s="418"/>
      <c r="I18" s="6">
        <v>4325000</v>
      </c>
    </row>
    <row r="19" spans="1:10" s="6" customFormat="1" ht="21.95" customHeight="1">
      <c r="A19" s="594"/>
      <c r="B19" s="412"/>
      <c r="C19" s="407" t="s">
        <v>1777</v>
      </c>
      <c r="D19" s="416">
        <f ca="1">INT(($D$9)*$E$19)</f>
        <v>4070</v>
      </c>
      <c r="E19" s="505">
        <v>6.0000000000000002E-5</v>
      </c>
      <c r="F19" s="410" t="s">
        <v>781</v>
      </c>
      <c r="G19" s="418"/>
      <c r="I19" s="6">
        <v>4325000</v>
      </c>
    </row>
    <row r="20" spans="1:10" s="6" customFormat="1" ht="21.95" customHeight="1">
      <c r="A20" s="594"/>
      <c r="B20" s="412" t="s">
        <v>789</v>
      </c>
      <c r="C20" s="407" t="s">
        <v>1778</v>
      </c>
      <c r="D20" s="416">
        <f ca="1">INT(($D$9)*$E$20)</f>
        <v>61050</v>
      </c>
      <c r="E20" s="409">
        <v>8.9999999999999998E-4</v>
      </c>
      <c r="F20" s="410" t="s">
        <v>781</v>
      </c>
      <c r="G20" s="418"/>
      <c r="I20" s="6">
        <v>4325000</v>
      </c>
    </row>
    <row r="21" spans="1:10" s="6" customFormat="1" ht="21.95" customHeight="1">
      <c r="A21" s="594"/>
      <c r="B21" s="414"/>
      <c r="C21" s="419" t="s">
        <v>352</v>
      </c>
      <c r="D21" s="416">
        <f ca="1">SUM(D10:D20)</f>
        <v>21528988</v>
      </c>
      <c r="E21" s="417"/>
      <c r="F21" s="410"/>
      <c r="G21" s="418"/>
    </row>
    <row r="22" spans="1:10" s="6" customFormat="1" ht="21.95" customHeight="1">
      <c r="A22" s="595"/>
      <c r="B22" s="404" t="s">
        <v>353</v>
      </c>
      <c r="C22" s="404"/>
      <c r="D22" s="416">
        <f ca="1">SUM(D6,D9,D21)</f>
        <v>193450554</v>
      </c>
      <c r="E22" s="417"/>
      <c r="F22" s="410" t="s">
        <v>792</v>
      </c>
      <c r="G22" s="418"/>
    </row>
    <row r="23" spans="1:10" s="6" customFormat="1" ht="21.95" customHeight="1">
      <c r="A23" s="404" t="s">
        <v>354</v>
      </c>
      <c r="B23" s="404"/>
      <c r="C23" s="404"/>
      <c r="D23" s="416">
        <f ca="1">INT($D$22*$E$23)</f>
        <v>15476044</v>
      </c>
      <c r="E23" s="417">
        <v>0.08</v>
      </c>
      <c r="F23" s="410" t="s">
        <v>793</v>
      </c>
      <c r="G23" s="418"/>
    </row>
    <row r="24" spans="1:10" s="6" customFormat="1" ht="21.95" customHeight="1">
      <c r="A24" s="404" t="s">
        <v>355</v>
      </c>
      <c r="B24" s="404"/>
      <c r="C24" s="404"/>
      <c r="D24" s="416">
        <f ca="1">INT(($D$9+$D$21+$D$23)*$E$24)-927/1.1</f>
        <v>15724957.272727273</v>
      </c>
      <c r="E24" s="417">
        <v>0.15</v>
      </c>
      <c r="F24" s="410" t="s">
        <v>794</v>
      </c>
      <c r="G24" s="418"/>
      <c r="H24" s="6">
        <f ca="1">D22+D23+(INT((D9+D21+D23)*E24))</f>
        <v>224652398</v>
      </c>
      <c r="I24" s="10"/>
    </row>
    <row r="25" spans="1:10" s="6" customFormat="1" ht="21.95" customHeight="1">
      <c r="A25" s="404" t="s">
        <v>795</v>
      </c>
      <c r="B25" s="404"/>
      <c r="C25" s="404"/>
      <c r="D25" s="416">
        <f ca="1">SUM(D22:D24)</f>
        <v>224651555.27272728</v>
      </c>
      <c r="E25" s="422"/>
      <c r="F25" s="423"/>
      <c r="G25" s="418"/>
    </row>
    <row r="26" spans="1:10" s="6" customFormat="1" ht="21.95" customHeight="1">
      <c r="A26" s="404" t="s">
        <v>1813</v>
      </c>
      <c r="B26" s="404"/>
      <c r="C26" s="404"/>
      <c r="D26" s="416">
        <f ca="1">INT((D25)*E26)</f>
        <v>594809</v>
      </c>
      <c r="E26" s="527">
        <v>2.6476999999999998E-3</v>
      </c>
      <c r="F26" s="423"/>
      <c r="G26" s="418"/>
    </row>
    <row r="27" spans="1:10" s="6" customFormat="1" ht="21.95" customHeight="1">
      <c r="A27" s="404" t="s">
        <v>796</v>
      </c>
      <c r="B27" s="404"/>
      <c r="C27" s="404"/>
      <c r="D27" s="416">
        <f ca="1">INT((D25+D26)*E27)</f>
        <v>22524636</v>
      </c>
      <c r="E27" s="417">
        <v>0.1</v>
      </c>
      <c r="F27" s="410" t="s">
        <v>797</v>
      </c>
      <c r="G27" s="418"/>
    </row>
    <row r="28" spans="1:10" s="6" customFormat="1" ht="21.95" customHeight="1">
      <c r="A28" s="597" t="s">
        <v>1363</v>
      </c>
      <c r="B28" s="597"/>
      <c r="C28" s="597"/>
      <c r="D28" s="416">
        <f ca="1">SUM(D25:D27)</f>
        <v>247771000.27272728</v>
      </c>
      <c r="E28" s="424"/>
      <c r="F28" s="410"/>
      <c r="G28" s="418"/>
    </row>
    <row r="29" spans="1:10" s="6" customFormat="1" ht="21.95" customHeight="1">
      <c r="A29" s="597" t="s">
        <v>1869</v>
      </c>
      <c r="B29" s="597"/>
      <c r="C29" s="597"/>
      <c r="D29" s="416">
        <v>67000000</v>
      </c>
      <c r="E29" s="424"/>
      <c r="F29" s="410"/>
      <c r="G29" s="418"/>
    </row>
    <row r="30" spans="1:10" s="6" customFormat="1" ht="21.95" customHeight="1">
      <c r="A30" s="597" t="s">
        <v>798</v>
      </c>
      <c r="B30" s="597"/>
      <c r="C30" s="597"/>
      <c r="D30" s="416">
        <f>수수료!I22</f>
        <v>297000</v>
      </c>
      <c r="E30" s="424"/>
      <c r="F30" s="410"/>
      <c r="G30" s="418"/>
    </row>
    <row r="31" spans="1:10" s="6" customFormat="1" ht="21.95" customHeight="1">
      <c r="A31" s="596" t="s">
        <v>799</v>
      </c>
      <c r="B31" s="596"/>
      <c r="C31" s="596"/>
      <c r="D31" s="426">
        <f ca="1">D28+D30</f>
        <v>248068000.27272728</v>
      </c>
      <c r="E31" s="427"/>
      <c r="F31" s="427"/>
      <c r="G31" s="426"/>
    </row>
    <row r="32" spans="1:10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</sheetData>
  <mergeCells count="8">
    <mergeCell ref="A1:G1"/>
    <mergeCell ref="E2:G2"/>
    <mergeCell ref="E3:F3"/>
    <mergeCell ref="A4:A22"/>
    <mergeCell ref="A31:C31"/>
    <mergeCell ref="A30:C30"/>
    <mergeCell ref="A28:C28"/>
    <mergeCell ref="A29:C29"/>
  </mergeCells>
  <phoneticPr fontId="4" type="noConversion"/>
  <printOptions horizontalCentered="1"/>
  <pageMargins left="0.86614173228346458" right="0.47244094488188981" top="0.7" bottom="0.37" header="0" footer="0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view="pageBreakPreview" workbookViewId="0">
      <selection activeCell="F18" sqref="F18"/>
    </sheetView>
  </sheetViews>
  <sheetFormatPr defaultRowHeight="30" customHeight="1"/>
  <cols>
    <col min="1" max="1" width="26.109375" style="428" customWidth="1"/>
    <col min="2" max="2" width="10.109375" style="428" customWidth="1"/>
    <col min="3" max="3" width="11.109375" style="428" customWidth="1"/>
    <col min="4" max="4" width="9.6640625" style="428" customWidth="1"/>
    <col min="5" max="5" width="1.77734375" style="428" customWidth="1"/>
    <col min="6" max="6" width="9.44140625" style="428" customWidth="1"/>
    <col min="7" max="7" width="1.77734375" style="428" customWidth="1"/>
    <col min="8" max="8" width="13.33203125" style="428" customWidth="1"/>
    <col min="9" max="9" width="17.33203125" style="428" customWidth="1"/>
    <col min="10" max="10" width="15.77734375" style="428" customWidth="1"/>
    <col min="11" max="16384" width="8.88671875" style="428"/>
  </cols>
  <sheetData>
    <row r="1" spans="1:10" ht="44.1" customHeight="1" thickBot="1">
      <c r="A1" s="599" t="s">
        <v>739</v>
      </c>
      <c r="B1" s="599"/>
      <c r="C1" s="599"/>
      <c r="D1" s="599"/>
      <c r="E1" s="599"/>
      <c r="F1" s="599"/>
      <c r="G1" s="599"/>
      <c r="H1" s="599"/>
      <c r="I1" s="599"/>
      <c r="J1" s="599"/>
    </row>
    <row r="2" spans="1:10" ht="21.95" customHeight="1" thickBot="1">
      <c r="A2" s="429" t="s">
        <v>800</v>
      </c>
      <c r="B2" s="429" t="s">
        <v>801</v>
      </c>
      <c r="C2" s="429" t="s">
        <v>802</v>
      </c>
      <c r="D2" s="598" t="s">
        <v>803</v>
      </c>
      <c r="E2" s="598"/>
      <c r="F2" s="598"/>
      <c r="G2" s="598"/>
      <c r="H2" s="598"/>
      <c r="I2" s="429" t="s">
        <v>804</v>
      </c>
      <c r="J2" s="429" t="s">
        <v>805</v>
      </c>
    </row>
    <row r="3" spans="1:10" ht="21.95" customHeight="1">
      <c r="A3" s="456"/>
      <c r="B3" s="501"/>
      <c r="C3" s="431"/>
      <c r="D3" s="431"/>
      <c r="E3" s="432"/>
      <c r="F3" s="502"/>
      <c r="G3" s="434"/>
      <c r="H3" s="435"/>
      <c r="I3" s="436"/>
      <c r="J3" s="437"/>
    </row>
    <row r="4" spans="1:10" ht="21.95" customHeight="1">
      <c r="A4" s="438"/>
      <c r="B4" s="501"/>
      <c r="C4" s="431"/>
      <c r="D4" s="431"/>
      <c r="E4" s="432"/>
      <c r="F4" s="502"/>
      <c r="G4" s="434"/>
      <c r="H4" s="435"/>
      <c r="I4" s="436"/>
      <c r="J4" s="436"/>
    </row>
    <row r="5" spans="1:10" ht="21.95" customHeight="1">
      <c r="A5" s="438"/>
      <c r="B5" s="430"/>
      <c r="C5" s="431"/>
      <c r="D5" s="431"/>
      <c r="E5" s="432"/>
      <c r="F5" s="433"/>
      <c r="G5" s="434"/>
      <c r="H5" s="435"/>
      <c r="I5" s="436"/>
      <c r="J5" s="436"/>
    </row>
    <row r="6" spans="1:10" ht="21.95" customHeight="1">
      <c r="A6" s="438"/>
      <c r="B6" s="430"/>
      <c r="C6" s="431"/>
      <c r="D6" s="431"/>
      <c r="E6" s="432"/>
      <c r="F6" s="433"/>
      <c r="G6" s="434"/>
      <c r="H6" s="435"/>
      <c r="I6" s="436"/>
      <c r="J6" s="436"/>
    </row>
    <row r="7" spans="1:10" ht="21.95" customHeight="1">
      <c r="A7" s="438"/>
      <c r="B7" s="430"/>
      <c r="C7" s="431"/>
      <c r="D7" s="431"/>
      <c r="E7" s="432"/>
      <c r="F7" s="433"/>
      <c r="G7" s="434"/>
      <c r="H7" s="435"/>
      <c r="I7" s="436"/>
      <c r="J7" s="436"/>
    </row>
    <row r="8" spans="1:10" ht="21.95" customHeight="1">
      <c r="A8" s="438"/>
      <c r="B8" s="430"/>
      <c r="C8" s="431"/>
      <c r="D8" s="431"/>
      <c r="E8" s="432"/>
      <c r="F8" s="433"/>
      <c r="G8" s="434"/>
      <c r="H8" s="435"/>
      <c r="I8" s="436"/>
      <c r="J8" s="436"/>
    </row>
    <row r="9" spans="1:10" ht="21.95" customHeight="1">
      <c r="A9" s="438"/>
      <c r="B9" s="430"/>
      <c r="C9" s="431"/>
      <c r="D9" s="431"/>
      <c r="E9" s="432"/>
      <c r="F9" s="433"/>
      <c r="G9" s="434"/>
      <c r="H9" s="435"/>
      <c r="I9" s="436"/>
      <c r="J9" s="436"/>
    </row>
    <row r="10" spans="1:10" ht="21.95" customHeight="1">
      <c r="A10" s="439" t="s">
        <v>808</v>
      </c>
      <c r="B10" s="440"/>
      <c r="C10" s="439"/>
      <c r="D10" s="431"/>
      <c r="E10" s="432"/>
      <c r="F10" s="433"/>
      <c r="G10" s="434"/>
      <c r="H10" s="441"/>
      <c r="I10" s="436">
        <f>SUM(I3:I9)</f>
        <v>0</v>
      </c>
      <c r="J10" s="436"/>
    </row>
    <row r="11" spans="1:10" ht="21.95" customHeight="1" thickBot="1">
      <c r="A11" s="442" t="s">
        <v>809</v>
      </c>
      <c r="B11" s="443">
        <v>0.1</v>
      </c>
      <c r="C11" s="442"/>
      <c r="D11" s="444"/>
      <c r="E11" s="445"/>
      <c r="F11" s="446"/>
      <c r="G11" s="447"/>
      <c r="H11" s="448"/>
      <c r="I11" s="449">
        <f>I10*B11</f>
        <v>0</v>
      </c>
      <c r="J11" s="449"/>
    </row>
    <row r="12" spans="1:10" ht="21.95" customHeight="1" thickBot="1">
      <c r="A12" s="600" t="s">
        <v>810</v>
      </c>
      <c r="B12" s="601"/>
      <c r="C12" s="601"/>
      <c r="D12" s="450"/>
      <c r="E12" s="451"/>
      <c r="F12" s="452"/>
      <c r="G12" s="453"/>
      <c r="H12" s="451"/>
      <c r="I12" s="454">
        <f>ROUNDUP(I10+I11,-3)</f>
        <v>0</v>
      </c>
      <c r="J12" s="455" t="s">
        <v>811</v>
      </c>
    </row>
    <row r="13" spans="1:10" ht="21.95" customHeight="1">
      <c r="A13" s="456" t="s">
        <v>1554</v>
      </c>
      <c r="B13" s="513">
        <v>450</v>
      </c>
      <c r="C13" s="509">
        <v>94000</v>
      </c>
      <c r="D13" s="509">
        <v>391</v>
      </c>
      <c r="E13" s="510" t="s">
        <v>806</v>
      </c>
      <c r="F13" s="502">
        <v>450</v>
      </c>
      <c r="G13" s="434" t="s">
        <v>807</v>
      </c>
      <c r="H13" s="512">
        <f>INT(D13*F13)</f>
        <v>175950</v>
      </c>
      <c r="I13" s="511">
        <f>SUM(C13,H13)</f>
        <v>269950</v>
      </c>
      <c r="J13" s="511"/>
    </row>
    <row r="14" spans="1:10" ht="21.95" customHeight="1">
      <c r="A14" s="438"/>
      <c r="B14" s="501"/>
      <c r="C14" s="431"/>
      <c r="D14" s="431"/>
      <c r="E14" s="432"/>
      <c r="F14" s="502"/>
      <c r="G14" s="434"/>
      <c r="H14" s="435"/>
      <c r="I14" s="436">
        <f>SUM(C14,H14)</f>
        <v>0</v>
      </c>
      <c r="J14" s="436"/>
    </row>
    <row r="15" spans="1:10" ht="21.95" customHeight="1">
      <c r="A15" s="438"/>
      <c r="B15" s="501"/>
      <c r="C15" s="431"/>
      <c r="D15" s="431"/>
      <c r="E15" s="432"/>
      <c r="F15" s="433"/>
      <c r="G15" s="434"/>
      <c r="H15" s="435"/>
      <c r="I15" s="436"/>
      <c r="J15" s="436"/>
    </row>
    <row r="16" spans="1:10" ht="21.95" customHeight="1">
      <c r="A16" s="438"/>
      <c r="B16" s="430"/>
      <c r="C16" s="431"/>
      <c r="D16" s="431"/>
      <c r="E16" s="432"/>
      <c r="F16" s="433"/>
      <c r="G16" s="434"/>
      <c r="H16" s="435"/>
      <c r="I16" s="436"/>
      <c r="J16" s="436"/>
    </row>
    <row r="17" spans="1:10" ht="21.95" customHeight="1">
      <c r="A17" s="438"/>
      <c r="B17" s="430"/>
      <c r="C17" s="431"/>
      <c r="D17" s="431"/>
      <c r="E17" s="432"/>
      <c r="F17" s="433"/>
      <c r="G17" s="434"/>
      <c r="H17" s="435"/>
      <c r="I17" s="436"/>
      <c r="J17" s="436"/>
    </row>
    <row r="18" spans="1:10" ht="21.95" customHeight="1">
      <c r="A18" s="438"/>
      <c r="B18" s="430"/>
      <c r="C18" s="431"/>
      <c r="D18" s="431"/>
      <c r="E18" s="432"/>
      <c r="F18" s="433"/>
      <c r="G18" s="434"/>
      <c r="H18" s="435"/>
      <c r="I18" s="436"/>
      <c r="J18" s="436"/>
    </row>
    <row r="19" spans="1:10" ht="21.95" customHeight="1">
      <c r="A19" s="438"/>
      <c r="B19" s="430"/>
      <c r="C19" s="431"/>
      <c r="D19" s="431"/>
      <c r="E19" s="432"/>
      <c r="F19" s="433"/>
      <c r="G19" s="434"/>
      <c r="H19" s="435"/>
      <c r="I19" s="436"/>
      <c r="J19" s="436"/>
    </row>
    <row r="20" spans="1:10" ht="21.95" customHeight="1">
      <c r="A20" s="439" t="s">
        <v>808</v>
      </c>
      <c r="B20" s="440"/>
      <c r="C20" s="439"/>
      <c r="D20" s="431"/>
      <c r="E20" s="432"/>
      <c r="F20" s="433"/>
      <c r="G20" s="434"/>
      <c r="H20" s="441"/>
      <c r="I20" s="436">
        <f>SUM(I13:I19)</f>
        <v>269950</v>
      </c>
      <c r="J20" s="436"/>
    </row>
    <row r="21" spans="1:10" ht="21.95" customHeight="1" thickBot="1">
      <c r="A21" s="442" t="s">
        <v>809</v>
      </c>
      <c r="B21" s="443">
        <v>0.1</v>
      </c>
      <c r="C21" s="442"/>
      <c r="D21" s="444"/>
      <c r="E21" s="445"/>
      <c r="F21" s="446"/>
      <c r="G21" s="447"/>
      <c r="H21" s="448"/>
      <c r="I21" s="449">
        <f>I20*B21</f>
        <v>26995</v>
      </c>
      <c r="J21" s="449"/>
    </row>
    <row r="22" spans="1:10" ht="21.95" customHeight="1" thickBot="1">
      <c r="A22" s="600" t="s">
        <v>812</v>
      </c>
      <c r="B22" s="601"/>
      <c r="C22" s="601"/>
      <c r="D22" s="450"/>
      <c r="E22" s="451"/>
      <c r="F22" s="452"/>
      <c r="G22" s="453"/>
      <c r="H22" s="451"/>
      <c r="I22" s="454">
        <f>ROUNDUP(I20+I21,-3)</f>
        <v>297000</v>
      </c>
      <c r="J22" s="455" t="s">
        <v>811</v>
      </c>
    </row>
  </sheetData>
  <mergeCells count="4">
    <mergeCell ref="D2:H2"/>
    <mergeCell ref="A1:J1"/>
    <mergeCell ref="A12:C12"/>
    <mergeCell ref="A22:C22"/>
  </mergeCells>
  <phoneticPr fontId="4" type="noConversion"/>
  <printOptions horizontalCentered="1"/>
  <pageMargins left="0.86614173228346458" right="0.47244094488188981" top="0.78740157480314965" bottom="0.47244094488188981" header="0" footer="0"/>
  <pageSetup paperSize="9" scale="9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4"/>
  <dimension ref="A1:N28"/>
  <sheetViews>
    <sheetView showZeros="0" view="pageBreakPreview" zoomScaleSheetLayoutView="90" workbookViewId="0">
      <selection activeCell="G16" sqref="G16"/>
    </sheetView>
  </sheetViews>
  <sheetFormatPr defaultRowHeight="21" customHeight="1"/>
  <cols>
    <col min="1" max="2" width="19.77734375" style="161" customWidth="1"/>
    <col min="3" max="3" width="4.77734375" style="120" customWidth="1"/>
    <col min="4" max="4" width="6.77734375" style="20" customWidth="1"/>
    <col min="5" max="11" width="10.77734375" style="163" customWidth="1"/>
    <col min="12" max="12" width="8.5546875" style="120" customWidth="1"/>
    <col min="13" max="13" width="9.109375" style="162" bestFit="1" customWidth="1"/>
    <col min="14" max="14" width="10.77734375" style="162" bestFit="1" customWidth="1"/>
    <col min="15" max="16384" width="8.88671875" style="162"/>
  </cols>
  <sheetData>
    <row r="1" spans="1:14" s="157" customFormat="1" ht="21.95" customHeight="1">
      <c r="A1" s="609" t="s">
        <v>365</v>
      </c>
      <c r="B1" s="609" t="s">
        <v>366</v>
      </c>
      <c r="C1" s="608" t="s">
        <v>367</v>
      </c>
      <c r="D1" s="604" t="s">
        <v>368</v>
      </c>
      <c r="E1" s="605" t="s">
        <v>369</v>
      </c>
      <c r="F1" s="605"/>
      <c r="G1" s="605" t="s">
        <v>370</v>
      </c>
      <c r="H1" s="605"/>
      <c r="I1" s="605" t="s">
        <v>371</v>
      </c>
      <c r="J1" s="605"/>
      <c r="K1" s="606" t="s">
        <v>372</v>
      </c>
      <c r="L1" s="604" t="s">
        <v>364</v>
      </c>
    </row>
    <row r="2" spans="1:14" s="157" customFormat="1" ht="21.95" customHeight="1">
      <c r="A2" s="609"/>
      <c r="B2" s="609"/>
      <c r="C2" s="608"/>
      <c r="D2" s="604"/>
      <c r="E2" s="97" t="s">
        <v>373</v>
      </c>
      <c r="F2" s="97" t="s">
        <v>374</v>
      </c>
      <c r="G2" s="97" t="s">
        <v>373</v>
      </c>
      <c r="H2" s="97" t="s">
        <v>374</v>
      </c>
      <c r="I2" s="97" t="s">
        <v>373</v>
      </c>
      <c r="J2" s="97" t="s">
        <v>374</v>
      </c>
      <c r="K2" s="607"/>
      <c r="L2" s="604"/>
    </row>
    <row r="3" spans="1:14" s="159" customFormat="1" ht="21.95" customHeight="1">
      <c r="A3" s="15" t="str">
        <f>" ■ 공사명"&amp;" : "&amp;표지1!A3</f>
        <v xml:space="preserve"> ■ 공사명 : 두류지하도상가 비상발전기 설치 전기공사</v>
      </c>
      <c r="B3" s="16"/>
      <c r="C3" s="99"/>
      <c r="D3" s="17"/>
      <c r="E3" s="160"/>
      <c r="F3" s="160"/>
      <c r="G3" s="160"/>
      <c r="H3" s="160"/>
      <c r="I3" s="160"/>
      <c r="J3" s="160"/>
      <c r="K3" s="18">
        <f>F3+H3+J3</f>
        <v>0</v>
      </c>
      <c r="L3" s="158"/>
    </row>
    <row r="4" spans="1:14" s="178" customFormat="1" ht="21.95" customHeight="1">
      <c r="A4" s="602"/>
      <c r="B4" s="603"/>
      <c r="C4" s="99"/>
      <c r="D4" s="17"/>
      <c r="E4" s="160"/>
      <c r="F4" s="19"/>
      <c r="G4" s="208"/>
      <c r="H4" s="19"/>
      <c r="I4" s="208"/>
      <c r="J4" s="19"/>
      <c r="K4" s="19"/>
      <c r="L4" s="158"/>
      <c r="N4" s="521"/>
    </row>
    <row r="5" spans="1:14" s="159" customFormat="1" ht="21.95" customHeight="1">
      <c r="A5" s="602" t="str">
        <f>내역서!A3</f>
        <v xml:space="preserve">1. 전기인입설비공사 </v>
      </c>
      <c r="B5" s="603"/>
      <c r="C5" s="99" t="s">
        <v>98</v>
      </c>
      <c r="D5" s="17">
        <v>1</v>
      </c>
      <c r="E5" s="160"/>
      <c r="F5" s="160">
        <f ca="1">내역서!F25</f>
        <v>43098622</v>
      </c>
      <c r="G5" s="160"/>
      <c r="H5" s="160">
        <f ca="1">내역서!H25</f>
        <v>29298273</v>
      </c>
      <c r="I5" s="160"/>
      <c r="J5" s="160">
        <f>내역서!J25</f>
        <v>0</v>
      </c>
      <c r="K5" s="18">
        <f t="shared" ref="K5" ca="1" si="0">F5+H5+J5</f>
        <v>72396895</v>
      </c>
      <c r="L5" s="158"/>
      <c r="N5" s="521"/>
    </row>
    <row r="6" spans="1:14" s="159" customFormat="1" ht="21.95" customHeight="1">
      <c r="A6" s="602" t="str">
        <f>내역서!A27</f>
        <v xml:space="preserve">2. 전기간선설비공사 </v>
      </c>
      <c r="B6" s="603"/>
      <c r="C6" s="99" t="s">
        <v>98</v>
      </c>
      <c r="D6" s="17">
        <v>1</v>
      </c>
      <c r="E6" s="160"/>
      <c r="F6" s="160">
        <f ca="1">내역서!F53</f>
        <v>60989304</v>
      </c>
      <c r="G6" s="160"/>
      <c r="H6" s="160">
        <f ca="1">내역서!H53</f>
        <v>28432485</v>
      </c>
      <c r="I6" s="160"/>
      <c r="J6" s="160">
        <v>0</v>
      </c>
      <c r="K6" s="18">
        <f t="shared" ref="K6" ca="1" si="1">F6+H6+J6</f>
        <v>89421789</v>
      </c>
      <c r="L6" s="158"/>
      <c r="N6" s="521"/>
    </row>
    <row r="7" spans="1:14" s="159" customFormat="1" ht="21.95" customHeight="1">
      <c r="A7" s="602"/>
      <c r="B7" s="603"/>
      <c r="C7" s="99"/>
      <c r="D7" s="17"/>
      <c r="E7" s="160"/>
      <c r="F7" s="160"/>
      <c r="G7" s="160"/>
      <c r="H7" s="160"/>
      <c r="I7" s="160"/>
      <c r="J7" s="160"/>
      <c r="K7" s="18"/>
      <c r="L7" s="158"/>
      <c r="N7" s="521"/>
    </row>
    <row r="8" spans="1:14" s="159" customFormat="1" ht="21.95" customHeight="1">
      <c r="A8" s="602"/>
      <c r="B8" s="603"/>
      <c r="C8" s="99"/>
      <c r="D8" s="17"/>
      <c r="E8" s="160"/>
      <c r="F8" s="160"/>
      <c r="G8" s="160"/>
      <c r="H8" s="160"/>
      <c r="I8" s="160"/>
      <c r="J8" s="160"/>
      <c r="K8" s="18"/>
      <c r="L8" s="158"/>
      <c r="N8" s="521"/>
    </row>
    <row r="9" spans="1:14" s="159" customFormat="1" ht="21.95" customHeight="1">
      <c r="A9" s="602"/>
      <c r="B9" s="603"/>
      <c r="C9" s="99"/>
      <c r="D9" s="17"/>
      <c r="E9" s="160"/>
      <c r="F9" s="18"/>
      <c r="G9" s="160"/>
      <c r="H9" s="18"/>
      <c r="I9" s="160"/>
      <c r="J9" s="18"/>
      <c r="K9" s="18"/>
      <c r="L9" s="158"/>
      <c r="M9" s="500"/>
      <c r="N9" s="520"/>
    </row>
    <row r="10" spans="1:14" s="159" customFormat="1" ht="21.95" customHeight="1">
      <c r="A10" s="602"/>
      <c r="B10" s="603"/>
      <c r="C10" s="99"/>
      <c r="D10" s="17"/>
      <c r="E10" s="160"/>
      <c r="F10" s="18"/>
      <c r="G10" s="160"/>
      <c r="H10" s="18"/>
      <c r="I10" s="160"/>
      <c r="J10" s="18"/>
      <c r="K10" s="18"/>
      <c r="L10" s="158"/>
      <c r="M10" s="500"/>
      <c r="N10" s="520"/>
    </row>
    <row r="11" spans="1:14" s="178" customFormat="1" ht="21.95" customHeight="1">
      <c r="A11" s="611" t="s">
        <v>171</v>
      </c>
      <c r="B11" s="612"/>
      <c r="C11" s="99"/>
      <c r="D11" s="17"/>
      <c r="E11" s="160"/>
      <c r="F11" s="19">
        <f ca="1">SUM(F5:F10)</f>
        <v>104087926</v>
      </c>
      <c r="G11" s="208"/>
      <c r="H11" s="19">
        <f ca="1">SUM(H5:H10)</f>
        <v>57730758</v>
      </c>
      <c r="I11" s="208"/>
      <c r="J11" s="19">
        <f>SUM(J5:J10)</f>
        <v>0</v>
      </c>
      <c r="K11" s="19">
        <f ca="1">F11+H11+J11</f>
        <v>161818684</v>
      </c>
      <c r="L11" s="158"/>
      <c r="N11" s="521"/>
    </row>
    <row r="12" spans="1:14" s="178" customFormat="1" ht="21.95" customHeight="1">
      <c r="A12" s="602"/>
      <c r="B12" s="603"/>
      <c r="C12" s="99"/>
      <c r="D12" s="17"/>
      <c r="E12" s="160"/>
      <c r="F12" s="19"/>
      <c r="G12" s="208"/>
      <c r="H12" s="19"/>
      <c r="I12" s="208"/>
      <c r="J12" s="19"/>
      <c r="K12" s="19"/>
      <c r="L12" s="158"/>
      <c r="N12" s="521"/>
    </row>
    <row r="13" spans="1:14" s="159" customFormat="1" ht="21.95" customHeight="1">
      <c r="A13" s="610"/>
      <c r="B13" s="610"/>
      <c r="C13" s="99"/>
      <c r="D13" s="17"/>
      <c r="E13" s="160"/>
      <c r="F13" s="18"/>
      <c r="G13" s="160"/>
      <c r="H13" s="18"/>
      <c r="I13" s="160"/>
      <c r="J13" s="18"/>
      <c r="K13" s="18"/>
      <c r="L13" s="158"/>
    </row>
    <row r="14" spans="1:14" s="159" customFormat="1" ht="21.95" customHeight="1">
      <c r="A14" s="610"/>
      <c r="B14" s="610"/>
      <c r="C14" s="99"/>
      <c r="D14" s="17"/>
      <c r="E14" s="160"/>
      <c r="F14" s="18"/>
      <c r="G14" s="160"/>
      <c r="H14" s="18"/>
      <c r="I14" s="160"/>
      <c r="J14" s="18"/>
      <c r="K14" s="18"/>
      <c r="L14" s="158"/>
    </row>
    <row r="15" spans="1:14" s="159" customFormat="1" ht="21.95" customHeight="1">
      <c r="A15" s="610"/>
      <c r="B15" s="610"/>
      <c r="C15" s="99"/>
      <c r="D15" s="17"/>
      <c r="E15" s="160"/>
      <c r="F15" s="18"/>
      <c r="G15" s="160"/>
      <c r="H15" s="18"/>
      <c r="I15" s="160"/>
      <c r="J15" s="18"/>
      <c r="K15" s="18"/>
      <c r="L15" s="158"/>
    </row>
    <row r="16" spans="1:14" s="159" customFormat="1" ht="21.95" customHeight="1">
      <c r="A16" s="610"/>
      <c r="B16" s="610"/>
      <c r="C16" s="99"/>
      <c r="D16" s="17"/>
      <c r="E16" s="160"/>
      <c r="F16" s="18"/>
      <c r="G16" s="160"/>
      <c r="H16" s="18"/>
      <c r="I16" s="160"/>
      <c r="J16" s="18"/>
      <c r="K16" s="18"/>
      <c r="L16" s="158"/>
    </row>
    <row r="17" spans="1:14" s="159" customFormat="1" ht="21.95" customHeight="1">
      <c r="A17" s="610"/>
      <c r="B17" s="610"/>
      <c r="C17" s="99"/>
      <c r="D17" s="17"/>
      <c r="E17" s="160"/>
      <c r="F17" s="18"/>
      <c r="G17" s="160"/>
      <c r="H17" s="18"/>
      <c r="I17" s="160"/>
      <c r="J17" s="18"/>
      <c r="K17" s="18"/>
      <c r="L17" s="158"/>
    </row>
    <row r="18" spans="1:14" s="159" customFormat="1" ht="21.95" customHeight="1">
      <c r="A18" s="610"/>
      <c r="B18" s="610"/>
      <c r="C18" s="99"/>
      <c r="D18" s="17"/>
      <c r="E18" s="160"/>
      <c r="F18" s="18"/>
      <c r="G18" s="160"/>
      <c r="H18" s="18"/>
      <c r="I18" s="160"/>
      <c r="J18" s="18"/>
      <c r="K18" s="18"/>
      <c r="L18" s="158"/>
    </row>
    <row r="19" spans="1:14" s="178" customFormat="1" ht="21.95" customHeight="1">
      <c r="A19" s="602"/>
      <c r="B19" s="603"/>
      <c r="C19" s="99"/>
      <c r="D19" s="17"/>
      <c r="E19" s="160"/>
      <c r="F19" s="19"/>
      <c r="G19" s="208"/>
      <c r="H19" s="19"/>
      <c r="I19" s="208"/>
      <c r="J19" s="19"/>
      <c r="K19" s="19"/>
      <c r="L19" s="158"/>
      <c r="N19" s="521"/>
    </row>
    <row r="20" spans="1:14" s="159" customFormat="1" ht="21.95" customHeight="1">
      <c r="A20" s="610"/>
      <c r="B20" s="610"/>
      <c r="C20" s="99"/>
      <c r="D20" s="17"/>
      <c r="E20" s="160"/>
      <c r="F20" s="18"/>
      <c r="G20" s="160"/>
      <c r="H20" s="18"/>
      <c r="I20" s="160"/>
      <c r="J20" s="18"/>
      <c r="K20" s="18"/>
      <c r="L20" s="158"/>
    </row>
    <row r="21" spans="1:14" s="159" customFormat="1" ht="21.95" customHeight="1">
      <c r="A21" s="610"/>
      <c r="B21" s="610"/>
      <c r="C21" s="99"/>
      <c r="D21" s="17"/>
      <c r="E21" s="160"/>
      <c r="F21" s="18"/>
      <c r="G21" s="160"/>
      <c r="H21" s="18"/>
      <c r="I21" s="160"/>
      <c r="J21" s="18"/>
      <c r="K21" s="18"/>
      <c r="L21" s="158"/>
    </row>
    <row r="22" spans="1:14" s="159" customFormat="1" ht="21.95" customHeight="1">
      <c r="A22" s="610"/>
      <c r="B22" s="610"/>
      <c r="C22" s="99"/>
      <c r="D22" s="17"/>
      <c r="E22" s="160"/>
      <c r="F22" s="18"/>
      <c r="G22" s="160"/>
      <c r="H22" s="18"/>
      <c r="I22" s="160"/>
      <c r="J22" s="18"/>
      <c r="K22" s="18"/>
      <c r="L22" s="158"/>
    </row>
    <row r="23" spans="1:14" s="159" customFormat="1" ht="21.95" customHeight="1">
      <c r="A23" s="610"/>
      <c r="B23" s="610"/>
      <c r="C23" s="99"/>
      <c r="D23" s="17"/>
      <c r="E23" s="160"/>
      <c r="F23" s="18"/>
      <c r="G23" s="160"/>
      <c r="H23" s="18"/>
      <c r="I23" s="160"/>
      <c r="J23" s="18"/>
      <c r="K23" s="18"/>
      <c r="L23" s="158"/>
    </row>
    <row r="24" spans="1:14" s="159" customFormat="1" ht="21.95" customHeight="1">
      <c r="A24" s="610"/>
      <c r="B24" s="610"/>
      <c r="C24" s="99"/>
      <c r="D24" s="17"/>
      <c r="E24" s="160"/>
      <c r="F24" s="18"/>
      <c r="G24" s="160"/>
      <c r="H24" s="18"/>
      <c r="I24" s="160"/>
      <c r="J24" s="18"/>
      <c r="K24" s="18"/>
      <c r="L24" s="158"/>
    </row>
    <row r="25" spans="1:14" s="159" customFormat="1" ht="21.95" customHeight="1">
      <c r="A25" s="610"/>
      <c r="B25" s="610"/>
      <c r="C25" s="99"/>
      <c r="D25" s="17"/>
      <c r="E25" s="160"/>
      <c r="F25" s="18"/>
      <c r="G25" s="160"/>
      <c r="H25" s="18"/>
      <c r="I25" s="160"/>
      <c r="J25" s="18"/>
      <c r="K25" s="18"/>
      <c r="L25" s="158"/>
    </row>
    <row r="26" spans="1:14" s="178" customFormat="1" ht="21.95" customHeight="1">
      <c r="A26" s="602"/>
      <c r="B26" s="603"/>
      <c r="C26" s="99"/>
      <c r="D26" s="17"/>
      <c r="E26" s="160"/>
      <c r="F26" s="19"/>
      <c r="G26" s="208"/>
      <c r="H26" s="19"/>
      <c r="I26" s="208"/>
      <c r="J26" s="19"/>
      <c r="K26" s="19"/>
      <c r="L26" s="158"/>
    </row>
    <row r="27" spans="1:14" ht="21" customHeight="1">
      <c r="J27" s="493"/>
      <c r="L27" s="494"/>
      <c r="M27" s="494"/>
    </row>
    <row r="28" spans="1:14" ht="21" customHeight="1">
      <c r="M28" s="163"/>
    </row>
  </sheetData>
  <mergeCells count="32">
    <mergeCell ref="A7:B7"/>
    <mergeCell ref="A8:B8"/>
    <mergeCell ref="A9:B9"/>
    <mergeCell ref="A10:B10"/>
    <mergeCell ref="A24:B24"/>
    <mergeCell ref="A19:B19"/>
    <mergeCell ref="A20:B20"/>
    <mergeCell ref="A21:B21"/>
    <mergeCell ref="A22:B22"/>
    <mergeCell ref="A23:B23"/>
    <mergeCell ref="A17:B17"/>
    <mergeCell ref="A12:B12"/>
    <mergeCell ref="A11:B11"/>
    <mergeCell ref="A18:B18"/>
    <mergeCell ref="A26:B26"/>
    <mergeCell ref="A15:B15"/>
    <mergeCell ref="A16:B16"/>
    <mergeCell ref="A13:B13"/>
    <mergeCell ref="A14:B14"/>
    <mergeCell ref="A25:B25"/>
    <mergeCell ref="A6:B6"/>
    <mergeCell ref="L1:L2"/>
    <mergeCell ref="I1:J1"/>
    <mergeCell ref="E1:F1"/>
    <mergeCell ref="G1:H1"/>
    <mergeCell ref="K1:K2"/>
    <mergeCell ref="D1:D2"/>
    <mergeCell ref="C1:C2"/>
    <mergeCell ref="B1:B2"/>
    <mergeCell ref="A1:A2"/>
    <mergeCell ref="A5:B5"/>
    <mergeCell ref="A4:B4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&amp;C&amp;"돋움,굵게"&amp;14집  계 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2">
    <tabColor indexed="57"/>
  </sheetPr>
  <dimension ref="A1:M73"/>
  <sheetViews>
    <sheetView showZeros="0" view="pageBreakPreview" topLeftCell="A52" zoomScaleSheetLayoutView="100" workbookViewId="0">
      <selection activeCell="F55" sqref="F55"/>
    </sheetView>
  </sheetViews>
  <sheetFormatPr defaultRowHeight="21" customHeight="1"/>
  <cols>
    <col min="1" max="2" width="19.77734375" style="161" customWidth="1"/>
    <col min="3" max="3" width="4.77734375" style="120" customWidth="1"/>
    <col min="4" max="4" width="6.77734375" style="375" customWidth="1"/>
    <col min="5" max="11" width="10.77734375" style="163" customWidth="1"/>
    <col min="12" max="12" width="8.5546875" style="376" customWidth="1"/>
    <col min="13" max="13" width="9.33203125" style="162" bestFit="1" customWidth="1"/>
    <col min="14" max="16384" width="8.88671875" style="162"/>
  </cols>
  <sheetData>
    <row r="1" spans="1:13" s="478" customFormat="1" ht="21.95" customHeight="1">
      <c r="A1" s="613" t="s">
        <v>365</v>
      </c>
      <c r="B1" s="613" t="s">
        <v>366</v>
      </c>
      <c r="C1" s="617" t="s">
        <v>367</v>
      </c>
      <c r="D1" s="616" t="s">
        <v>368</v>
      </c>
      <c r="E1" s="615" t="s">
        <v>369</v>
      </c>
      <c r="F1" s="615"/>
      <c r="G1" s="615" t="s">
        <v>370</v>
      </c>
      <c r="H1" s="615"/>
      <c r="I1" s="615" t="s">
        <v>371</v>
      </c>
      <c r="J1" s="615"/>
      <c r="K1" s="615" t="s">
        <v>372</v>
      </c>
      <c r="L1" s="614" t="s">
        <v>364</v>
      </c>
    </row>
    <row r="2" spans="1:13" s="478" customFormat="1" ht="21.95" customHeight="1">
      <c r="A2" s="613"/>
      <c r="B2" s="613"/>
      <c r="C2" s="618"/>
      <c r="D2" s="616"/>
      <c r="E2" s="122" t="s">
        <v>373</v>
      </c>
      <c r="F2" s="122" t="s">
        <v>374</v>
      </c>
      <c r="G2" s="122" t="s">
        <v>373</v>
      </c>
      <c r="H2" s="122" t="s">
        <v>374</v>
      </c>
      <c r="I2" s="122" t="s">
        <v>373</v>
      </c>
      <c r="J2" s="122" t="s">
        <v>374</v>
      </c>
      <c r="K2" s="615"/>
      <c r="L2" s="614"/>
    </row>
    <row r="3" spans="1:13" s="478" customFormat="1" ht="21.95" customHeight="1">
      <c r="A3" s="164" t="str">
        <f>'1.인입'!A1:B1</f>
        <v xml:space="preserve">1. 전기인입설비공사 </v>
      </c>
      <c r="B3" s="164"/>
      <c r="C3" s="495"/>
      <c r="D3" s="22"/>
      <c r="E3" s="475"/>
      <c r="F3" s="475"/>
      <c r="G3" s="475"/>
      <c r="H3" s="475"/>
      <c r="I3" s="475"/>
      <c r="J3" s="475"/>
      <c r="K3" s="475"/>
      <c r="L3" s="477"/>
    </row>
    <row r="4" spans="1:13" s="478" customFormat="1" ht="21.95" customHeight="1">
      <c r="A4" s="164" t="str">
        <f>'1.인입'!A4</f>
        <v>강제전선관</v>
      </c>
      <c r="B4" s="164" t="str">
        <f>'1.인입'!B4</f>
        <v>아연도 28C</v>
      </c>
      <c r="C4" s="495" t="str">
        <f>'1.인입'!C4</f>
        <v>m</v>
      </c>
      <c r="D4" s="22">
        <f ca="1">'1.인입'!L4</f>
        <v>46</v>
      </c>
      <c r="E4" s="475">
        <f>INT(VLOOKUP($A4&amp;$B4,단가!$C$3:$L$11927,3,FALSE))</f>
        <v>4012</v>
      </c>
      <c r="F4" s="475">
        <f t="shared" ref="F4" ca="1" si="0">INT(D4*E4)</f>
        <v>184552</v>
      </c>
      <c r="G4" s="475"/>
      <c r="H4" s="475"/>
      <c r="I4" s="475"/>
      <c r="J4" s="475"/>
      <c r="K4" s="475">
        <f t="shared" ref="K4" ca="1" si="1">SUM(F4+H4+J4)</f>
        <v>184552</v>
      </c>
      <c r="L4" s="477"/>
      <c r="M4" s="478">
        <v>1</v>
      </c>
    </row>
    <row r="5" spans="1:13" s="478" customFormat="1" ht="21.95" customHeight="1">
      <c r="A5" s="164" t="str">
        <f>'1.인입'!A5</f>
        <v>접지용전선</v>
      </c>
      <c r="B5" s="164" t="str">
        <f>'1.인입'!B5</f>
        <v>F-GV 50㎟</v>
      </c>
      <c r="C5" s="495" t="str">
        <f>'1.인입'!C5</f>
        <v>m</v>
      </c>
      <c r="D5" s="22">
        <f ca="1">'1.인입'!L5</f>
        <v>167</v>
      </c>
      <c r="E5" s="475">
        <f>INT(VLOOKUP($A5&amp;$B5,단가!$C$3:$L$11927,3,FALSE))</f>
        <v>8484</v>
      </c>
      <c r="F5" s="475">
        <f t="shared" ref="F5:F6" ca="1" si="2">INT(D5*E5)</f>
        <v>1416828</v>
      </c>
      <c r="G5" s="475"/>
      <c r="H5" s="475"/>
      <c r="I5" s="475"/>
      <c r="J5" s="475"/>
      <c r="K5" s="475">
        <f t="shared" ref="K5:K6" ca="1" si="3">SUM(F5+H5+J5)</f>
        <v>1416828</v>
      </c>
      <c r="L5" s="477"/>
      <c r="M5" s="478">
        <v>1</v>
      </c>
    </row>
    <row r="6" spans="1:13" s="478" customFormat="1" ht="21.95" customHeight="1">
      <c r="A6" s="164" t="str">
        <f>'1.인입'!A6</f>
        <v>0.6/1KV내화케이블</v>
      </c>
      <c r="B6" s="164" t="str">
        <f>'1.인입'!B6</f>
        <v>FR-8 1/C 240㎟</v>
      </c>
      <c r="C6" s="495" t="str">
        <f>'1.인입'!C6</f>
        <v>m</v>
      </c>
      <c r="D6" s="22">
        <f ca="1">'1.인입'!L6</f>
        <v>794</v>
      </c>
      <c r="E6" s="475">
        <f>INT(VLOOKUP($A6&amp;$B6,단가!$C$3:$L$11927,3,FALSE))</f>
        <v>47382</v>
      </c>
      <c r="F6" s="475">
        <f t="shared" ca="1" si="2"/>
        <v>37621308</v>
      </c>
      <c r="G6" s="475"/>
      <c r="H6" s="475"/>
      <c r="I6" s="475"/>
      <c r="J6" s="475"/>
      <c r="K6" s="475">
        <f t="shared" ca="1" si="3"/>
        <v>37621308</v>
      </c>
      <c r="L6" s="477"/>
      <c r="M6" s="478">
        <v>1</v>
      </c>
    </row>
    <row r="7" spans="1:13" s="478" customFormat="1" ht="21.95" customHeight="1">
      <c r="A7" s="164" t="str">
        <f>'1.인입'!A7</f>
        <v>0.6/1KV난연케이블</v>
      </c>
      <c r="B7" s="164" t="str">
        <f>'1.인입'!B7</f>
        <v>F-CV 2/C 10㎟</v>
      </c>
      <c r="C7" s="495" t="str">
        <f>'1.인입'!C7</f>
        <v>m</v>
      </c>
      <c r="D7" s="22">
        <f ca="1">'1.인입'!L7</f>
        <v>99</v>
      </c>
      <c r="E7" s="475">
        <f>INT(VLOOKUP($A7&amp;$B7,단가!$C$3:$L$11927,3,FALSE))</f>
        <v>5105</v>
      </c>
      <c r="F7" s="475">
        <f t="shared" ref="F7" ca="1" si="4">INT(D7*E7)</f>
        <v>505395</v>
      </c>
      <c r="G7" s="475"/>
      <c r="H7" s="475"/>
      <c r="I7" s="475"/>
      <c r="J7" s="475"/>
      <c r="K7" s="475">
        <f t="shared" ref="K7" ca="1" si="5">SUM(F7+H7+J7)</f>
        <v>505395</v>
      </c>
      <c r="L7" s="477"/>
      <c r="M7" s="478">
        <v>1</v>
      </c>
    </row>
    <row r="8" spans="1:13" s="478" customFormat="1" ht="21.95" customHeight="1">
      <c r="A8" s="164" t="str">
        <f>'1.인입'!A8</f>
        <v>접지동봉</v>
      </c>
      <c r="B8" s="164" t="str">
        <f>'1.인입'!B8</f>
        <v>18Φx2400㎜X6EA</v>
      </c>
      <c r="C8" s="495" t="str">
        <f>'1.인입'!C8</f>
        <v>EA</v>
      </c>
      <c r="D8" s="22">
        <f>'1.인입'!L8</f>
        <v>1</v>
      </c>
      <c r="E8" s="475">
        <f>INT(VLOOKUP($A8&amp;$B8,단가!$C$3:$L$11927,3,FALSE))</f>
        <v>51000</v>
      </c>
      <c r="F8" s="475">
        <f t="shared" ref="F8:F9" si="6">INT(D8*E8)</f>
        <v>51000</v>
      </c>
      <c r="G8" s="475"/>
      <c r="H8" s="475"/>
      <c r="I8" s="475"/>
      <c r="J8" s="475"/>
      <c r="K8" s="475">
        <f t="shared" ref="K8:K9" si="7">SUM(F8+H8+J8)</f>
        <v>51000</v>
      </c>
      <c r="L8" s="477"/>
      <c r="M8" s="478">
        <v>1</v>
      </c>
    </row>
    <row r="9" spans="1:13" s="478" customFormat="1" ht="21.95" customHeight="1">
      <c r="A9" s="164" t="str">
        <f>'1.인입'!A9</f>
        <v>PULL BOX</v>
      </c>
      <c r="B9" s="164" t="str">
        <f>'1.인입'!B9</f>
        <v>200x200x100</v>
      </c>
      <c r="C9" s="495" t="str">
        <f>'1.인입'!C9</f>
        <v>EA</v>
      </c>
      <c r="D9" s="22">
        <f>'1.인입'!L9</f>
        <v>1</v>
      </c>
      <c r="E9" s="475">
        <f>INT(VLOOKUP($A9&amp;$B9,단가!$C$3:$L$11927,3,FALSE))</f>
        <v>4020</v>
      </c>
      <c r="F9" s="475">
        <f t="shared" si="6"/>
        <v>4020</v>
      </c>
      <c r="G9" s="475"/>
      <c r="H9" s="475"/>
      <c r="I9" s="475"/>
      <c r="J9" s="475"/>
      <c r="K9" s="475">
        <f t="shared" si="7"/>
        <v>4020</v>
      </c>
      <c r="L9" s="477"/>
      <c r="M9" s="478">
        <v>1</v>
      </c>
    </row>
    <row r="10" spans="1:13" s="478" customFormat="1" ht="21.95" customHeight="1">
      <c r="A10" s="164" t="str">
        <f>'1.인입'!A10</f>
        <v>전선관지지행거 설치</v>
      </c>
      <c r="B10" s="164" t="str">
        <f>'1.인입'!B10</f>
        <v>28C</v>
      </c>
      <c r="C10" s="495" t="str">
        <f>'1.인입'!C10</f>
        <v>개소</v>
      </c>
      <c r="D10" s="22">
        <f ca="1">'1.인입'!L10</f>
        <v>27</v>
      </c>
      <c r="E10" s="475">
        <f>일위집계!G5</f>
        <v>1753</v>
      </c>
      <c r="F10" s="475">
        <f t="shared" ref="F10:F17" ca="1" si="8">INT(D10*E10)</f>
        <v>47331</v>
      </c>
      <c r="G10" s="475">
        <f>일위집계!I5</f>
        <v>9852</v>
      </c>
      <c r="H10" s="475">
        <f t="shared" ref="H10" ca="1" si="9">INT(D10*G10)</f>
        <v>266004</v>
      </c>
      <c r="I10" s="475"/>
      <c r="J10" s="475"/>
      <c r="K10" s="475">
        <f t="shared" ref="K10:K12" ca="1" si="10">SUM(F10+H10+J10)</f>
        <v>313335</v>
      </c>
      <c r="L10" s="477" t="s">
        <v>1827</v>
      </c>
      <c r="M10" s="478">
        <v>1</v>
      </c>
    </row>
    <row r="11" spans="1:13" s="478" customFormat="1" ht="21.95" customHeight="1">
      <c r="A11" s="164" t="str">
        <f>'1.인입'!A11</f>
        <v>MCCB (표준형)</v>
      </c>
      <c r="B11" s="164" t="str">
        <f>'1.인입'!B11</f>
        <v>2P 50AF 40AT</v>
      </c>
      <c r="C11" s="495" t="str">
        <f>'1.인입'!C11</f>
        <v>EA</v>
      </c>
      <c r="D11" s="22">
        <f>'1.인입'!L11</f>
        <v>1</v>
      </c>
      <c r="E11" s="475">
        <f>INT(VLOOKUP($A11&amp;$B11,단가!$C$3:$L$11927,3,FALSE))</f>
        <v>72300</v>
      </c>
      <c r="F11" s="475">
        <f t="shared" si="8"/>
        <v>72300</v>
      </c>
      <c r="G11" s="475"/>
      <c r="H11" s="475"/>
      <c r="I11" s="475"/>
      <c r="J11" s="475"/>
      <c r="K11" s="475">
        <f t="shared" si="10"/>
        <v>72300</v>
      </c>
      <c r="L11" s="477"/>
      <c r="M11" s="478">
        <v>1</v>
      </c>
    </row>
    <row r="12" spans="1:13" s="478" customFormat="1" ht="21.95" customHeight="1">
      <c r="A12" s="164" t="str">
        <f>'1.인입'!A12</f>
        <v>케이블트레이</v>
      </c>
      <c r="B12" s="164" t="str">
        <f>'1.인입'!B12</f>
        <v>W:300xH:100</v>
      </c>
      <c r="C12" s="495" t="str">
        <f>'1.인입'!C12</f>
        <v>m</v>
      </c>
      <c r="D12" s="22">
        <f>'1.인입'!L12</f>
        <v>87</v>
      </c>
      <c r="E12" s="475">
        <f>INT(VLOOKUP($A12&amp;$B12,단가!$C$3:$L$11927,3,FALSE))</f>
        <v>12650</v>
      </c>
      <c r="F12" s="475">
        <f t="shared" si="8"/>
        <v>1100550</v>
      </c>
      <c r="G12" s="475"/>
      <c r="H12" s="475"/>
      <c r="I12" s="475"/>
      <c r="J12" s="475"/>
      <c r="K12" s="475">
        <f t="shared" si="10"/>
        <v>1100550</v>
      </c>
      <c r="L12" s="477"/>
      <c r="M12" s="478">
        <v>1</v>
      </c>
    </row>
    <row r="13" spans="1:13" s="478" customFormat="1" ht="21.95" customHeight="1">
      <c r="A13" s="164" t="str">
        <f>'1.인입'!A13</f>
        <v>JOINT CONNECTORS</v>
      </c>
      <c r="B13" s="164" t="str">
        <f>'1.인입'!B13</f>
        <v>H100</v>
      </c>
      <c r="C13" s="495" t="str">
        <f>'1.인입'!C13</f>
        <v>EA</v>
      </c>
      <c r="D13" s="22">
        <f>'1.인입'!L13</f>
        <v>56</v>
      </c>
      <c r="E13" s="475">
        <f>INT(VLOOKUP($A13&amp;$B13,단가!$C$3:$L$11927,3,FALSE))</f>
        <v>999</v>
      </c>
      <c r="F13" s="475">
        <f t="shared" si="8"/>
        <v>55944</v>
      </c>
      <c r="G13" s="475"/>
      <c r="H13" s="475"/>
      <c r="I13" s="475"/>
      <c r="J13" s="475"/>
      <c r="K13" s="475">
        <f t="shared" ref="K13:K14" si="11">SUM(F13+H13+J13)</f>
        <v>55944</v>
      </c>
      <c r="L13" s="477"/>
      <c r="M13" s="478">
        <v>1</v>
      </c>
    </row>
    <row r="14" spans="1:13" s="478" customFormat="1" ht="21.95" customHeight="1">
      <c r="A14" s="164" t="str">
        <f>'1.인입'!A14</f>
        <v>SHANK BOLT NUT</v>
      </c>
      <c r="B14" s="164" t="str">
        <f>'1.인입'!B14</f>
        <v>아연도 3/8"</v>
      </c>
      <c r="C14" s="495" t="str">
        <f>'1.인입'!C14</f>
        <v>EA</v>
      </c>
      <c r="D14" s="22">
        <f>'1.인입'!L14</f>
        <v>448</v>
      </c>
      <c r="E14" s="475">
        <f>INT(VLOOKUP($A14&amp;$B14,단가!$C$3:$L$11927,3,FALSE))</f>
        <v>76</v>
      </c>
      <c r="F14" s="475">
        <f t="shared" si="8"/>
        <v>34048</v>
      </c>
      <c r="G14" s="475"/>
      <c r="H14" s="475"/>
      <c r="I14" s="475"/>
      <c r="J14" s="475"/>
      <c r="K14" s="475">
        <f t="shared" si="11"/>
        <v>34048</v>
      </c>
      <c r="L14" s="477"/>
      <c r="M14" s="478">
        <v>1</v>
      </c>
    </row>
    <row r="15" spans="1:13" s="478" customFormat="1" ht="21.95" customHeight="1">
      <c r="A15" s="164" t="str">
        <f>'1.인입'!A15</f>
        <v>BONDING JUMPER</v>
      </c>
      <c r="B15" s="164" t="str">
        <f>'1.인입'!B15</f>
        <v>35㎟</v>
      </c>
      <c r="C15" s="495" t="str">
        <f>'1.인입'!C15</f>
        <v>EA</v>
      </c>
      <c r="D15" s="22">
        <f>'1.인입'!L15</f>
        <v>28</v>
      </c>
      <c r="E15" s="475">
        <f>INT(VLOOKUP($A15&amp;$B15,단가!$C$3:$L$11927,3,FALSE))</f>
        <v>3200</v>
      </c>
      <c r="F15" s="475">
        <f t="shared" si="8"/>
        <v>89600</v>
      </c>
      <c r="G15" s="475"/>
      <c r="H15" s="475"/>
      <c r="I15" s="475"/>
      <c r="J15" s="475"/>
      <c r="K15" s="475">
        <f t="shared" ref="K15:K17" si="12">SUM(F15+H15+J15)</f>
        <v>89600</v>
      </c>
      <c r="L15" s="477"/>
      <c r="M15" s="478">
        <v>1</v>
      </c>
    </row>
    <row r="16" spans="1:13" s="478" customFormat="1" ht="21.95" customHeight="1">
      <c r="A16" s="164" t="str">
        <f>'1.인입'!A16</f>
        <v>HOLD DOWN CLAMP</v>
      </c>
      <c r="B16" s="164">
        <f>'1.인입'!B16</f>
        <v>0</v>
      </c>
      <c r="C16" s="495" t="str">
        <f>'1.인입'!C16</f>
        <v>EA</v>
      </c>
      <c r="D16" s="22">
        <f>'1.인입'!L16</f>
        <v>110</v>
      </c>
      <c r="E16" s="475">
        <f>INT(VLOOKUP($A16&amp;$B16,단가!$C$3:$L$11927,3,FALSE))</f>
        <v>360</v>
      </c>
      <c r="F16" s="475">
        <f t="shared" si="8"/>
        <v>39600</v>
      </c>
      <c r="G16" s="475"/>
      <c r="H16" s="475"/>
      <c r="I16" s="475"/>
      <c r="J16" s="475"/>
      <c r="K16" s="475">
        <f t="shared" si="12"/>
        <v>39600</v>
      </c>
      <c r="L16" s="477"/>
      <c r="M16" s="478">
        <v>1</v>
      </c>
    </row>
    <row r="17" spans="1:13" s="478" customFormat="1" ht="21.95" customHeight="1">
      <c r="A17" s="164" t="str">
        <f>'1.인입'!A17</f>
        <v>케이블트레이지지대  설치</v>
      </c>
      <c r="B17" s="164" t="str">
        <f>'1.인입'!B17</f>
        <v>W300</v>
      </c>
      <c r="C17" s="495" t="str">
        <f>'1.인입'!C17</f>
        <v>개소</v>
      </c>
      <c r="D17" s="22">
        <f>'1.인입'!L17</f>
        <v>55</v>
      </c>
      <c r="E17" s="475">
        <v>3181</v>
      </c>
      <c r="F17" s="475">
        <f t="shared" si="8"/>
        <v>174955</v>
      </c>
      <c r="G17" s="475">
        <v>19704</v>
      </c>
      <c r="H17" s="475">
        <f t="shared" ref="H17" si="13">INT(D17*G17)</f>
        <v>1083720</v>
      </c>
      <c r="I17" s="475"/>
      <c r="J17" s="475"/>
      <c r="K17" s="475">
        <f t="shared" si="12"/>
        <v>1258675</v>
      </c>
      <c r="L17" s="477" t="s">
        <v>1836</v>
      </c>
      <c r="M17" s="478">
        <v>1</v>
      </c>
    </row>
    <row r="18" spans="1:13" s="478" customFormat="1" ht="21.95" customHeight="1">
      <c r="A18" s="290" t="s">
        <v>123</v>
      </c>
      <c r="B18" s="290" t="s">
        <v>124</v>
      </c>
      <c r="C18" s="99" t="s">
        <v>98</v>
      </c>
      <c r="D18" s="22">
        <v>1</v>
      </c>
      <c r="E18" s="475">
        <f ca="1">SUM(F4:F4)</f>
        <v>184552</v>
      </c>
      <c r="F18" s="475">
        <f ca="1">INT(E18*0.15)</f>
        <v>27682</v>
      </c>
      <c r="G18" s="475"/>
      <c r="H18" s="475"/>
      <c r="I18" s="475"/>
      <c r="J18" s="475"/>
      <c r="K18" s="475">
        <f t="shared" ref="K18:K21" ca="1" si="14">SUM(F18+H18+J18)</f>
        <v>27682</v>
      </c>
      <c r="L18" s="477"/>
    </row>
    <row r="19" spans="1:13" s="478" customFormat="1" ht="21.95" customHeight="1">
      <c r="A19" s="290" t="s">
        <v>125</v>
      </c>
      <c r="B19" s="290" t="s">
        <v>126</v>
      </c>
      <c r="C19" s="99" t="s">
        <v>98</v>
      </c>
      <c r="D19" s="22">
        <v>1</v>
      </c>
      <c r="E19" s="475">
        <f ca="1">SUM(F4:F7)</f>
        <v>39728083</v>
      </c>
      <c r="F19" s="475">
        <f ca="1">INT(E19*0.02)</f>
        <v>794561</v>
      </c>
      <c r="G19" s="475"/>
      <c r="H19" s="475"/>
      <c r="I19" s="475"/>
      <c r="J19" s="475"/>
      <c r="K19" s="475">
        <f t="shared" ca="1" si="14"/>
        <v>794561</v>
      </c>
      <c r="L19" s="477"/>
    </row>
    <row r="20" spans="1:13" s="478" customFormat="1" ht="21.95" customHeight="1">
      <c r="A20" s="394" t="s">
        <v>113</v>
      </c>
      <c r="B20" s="394" t="s">
        <v>478</v>
      </c>
      <c r="C20" s="99" t="s">
        <v>114</v>
      </c>
      <c r="D20" s="22">
        <f ca="1">'1.인입'!N29</f>
        <v>20.2</v>
      </c>
      <c r="E20" s="475"/>
      <c r="F20" s="475"/>
      <c r="G20" s="475">
        <f>INT(VLOOKUP($A20&amp;$B20,단가!$C$3:$L$11927,3,FALSE))</f>
        <v>273676</v>
      </c>
      <c r="H20" s="475">
        <f t="shared" ref="H20:H23" ca="1" si="15">INT(D20*G20)</f>
        <v>5528255</v>
      </c>
      <c r="I20" s="475"/>
      <c r="J20" s="475"/>
      <c r="K20" s="475">
        <f t="shared" ca="1" si="14"/>
        <v>5528255</v>
      </c>
      <c r="L20" s="477"/>
    </row>
    <row r="21" spans="1:13" s="478" customFormat="1" ht="21.95" customHeight="1">
      <c r="A21" s="394" t="s">
        <v>113</v>
      </c>
      <c r="B21" s="394" t="s">
        <v>1215</v>
      </c>
      <c r="C21" s="99" t="s">
        <v>114</v>
      </c>
      <c r="D21" s="22">
        <f ca="1">'1.인입'!P29</f>
        <v>73.599999999999994</v>
      </c>
      <c r="E21" s="475"/>
      <c r="F21" s="475"/>
      <c r="G21" s="475">
        <f>INT(VLOOKUP($A21&amp;$B21,단가!$C$3:$L$11927,3,FALSE))</f>
        <v>304156</v>
      </c>
      <c r="H21" s="475">
        <f t="shared" ca="1" si="15"/>
        <v>22385881</v>
      </c>
      <c r="I21" s="475"/>
      <c r="J21" s="475"/>
      <c r="K21" s="475">
        <f t="shared" ca="1" si="14"/>
        <v>22385881</v>
      </c>
      <c r="L21" s="477"/>
    </row>
    <row r="22" spans="1:13" s="478" customFormat="1" ht="21.95" customHeight="1">
      <c r="A22" s="394" t="s">
        <v>113</v>
      </c>
      <c r="B22" s="394" t="s">
        <v>1471</v>
      </c>
      <c r="C22" s="99" t="s">
        <v>114</v>
      </c>
      <c r="D22" s="22">
        <f ca="1">'1.인입'!T29</f>
        <v>0.2</v>
      </c>
      <c r="E22" s="475"/>
      <c r="F22" s="475"/>
      <c r="G22" s="475">
        <f>INT(VLOOKUP($A22&amp;$B22,단가!$C$3:$L$11927,3,FALSE))</f>
        <v>172068</v>
      </c>
      <c r="H22" s="475">
        <f t="shared" ca="1" si="15"/>
        <v>34413</v>
      </c>
      <c r="I22" s="475"/>
      <c r="J22" s="475"/>
      <c r="K22" s="475">
        <f t="shared" ref="K22" ca="1" si="16">SUM(F22+H22+J22)</f>
        <v>34413</v>
      </c>
      <c r="L22" s="477"/>
    </row>
    <row r="23" spans="1:13" s="478" customFormat="1" ht="21.95" customHeight="1">
      <c r="A23" s="394" t="s">
        <v>1472</v>
      </c>
      <c r="B23" s="394" t="s">
        <v>1473</v>
      </c>
      <c r="C23" s="99" t="s">
        <v>375</v>
      </c>
      <c r="D23" s="22">
        <v>1</v>
      </c>
      <c r="E23" s="475">
        <f ca="1">H25</f>
        <v>29298273</v>
      </c>
      <c r="F23" s="475">
        <f ca="1">INT(E23*0.03)</f>
        <v>878948</v>
      </c>
      <c r="G23" s="475"/>
      <c r="H23" s="475">
        <f t="shared" si="15"/>
        <v>0</v>
      </c>
      <c r="I23" s="475"/>
      <c r="J23" s="475"/>
      <c r="K23" s="475">
        <f t="shared" ref="K23" ca="1" si="17">SUM(F23+H23+J23)</f>
        <v>878948</v>
      </c>
      <c r="L23" s="477"/>
    </row>
    <row r="24" spans="1:13" s="478" customFormat="1" ht="21.95" customHeight="1">
      <c r="A24" s="290"/>
      <c r="B24" s="506"/>
      <c r="C24" s="99"/>
      <c r="D24" s="22"/>
      <c r="E24" s="475"/>
      <c r="F24" s="475"/>
      <c r="G24" s="475"/>
      <c r="H24" s="475"/>
      <c r="I24" s="475"/>
      <c r="J24" s="475"/>
      <c r="K24" s="475"/>
      <c r="L24" s="477"/>
    </row>
    <row r="25" spans="1:13" s="478" customFormat="1" ht="21.95" customHeight="1">
      <c r="A25" s="164" t="s">
        <v>127</v>
      </c>
      <c r="B25" s="165"/>
      <c r="C25" s="99"/>
      <c r="D25" s="22"/>
      <c r="E25" s="475"/>
      <c r="F25" s="475">
        <f ca="1">SUM(F4:F24)</f>
        <v>43098622</v>
      </c>
      <c r="G25" s="475"/>
      <c r="H25" s="475">
        <f ca="1">SUM(H4:H24)</f>
        <v>29298273</v>
      </c>
      <c r="I25" s="475"/>
      <c r="J25" s="475">
        <f>SUM(J4:J24)</f>
        <v>0</v>
      </c>
      <c r="K25" s="475">
        <f ca="1">SUM(F25+H25+J25)</f>
        <v>72396895</v>
      </c>
      <c r="L25" s="477"/>
    </row>
    <row r="26" spans="1:13" s="478" customFormat="1" ht="21.95" customHeight="1">
      <c r="A26" s="290"/>
      <c r="B26" s="506"/>
      <c r="C26" s="99"/>
      <c r="D26" s="22"/>
      <c r="E26" s="475"/>
      <c r="F26" s="475"/>
      <c r="G26" s="475"/>
      <c r="H26" s="475"/>
      <c r="I26" s="475"/>
      <c r="J26" s="475"/>
      <c r="K26" s="475"/>
      <c r="L26" s="477"/>
    </row>
    <row r="27" spans="1:13" s="478" customFormat="1" ht="21.95" customHeight="1">
      <c r="A27" s="164" t="str">
        <f>'2.간선'!A1:B1</f>
        <v xml:space="preserve">2. 전기간선설비공사 </v>
      </c>
      <c r="B27" s="164"/>
      <c r="C27" s="495"/>
      <c r="D27" s="22"/>
      <c r="E27" s="475"/>
      <c r="F27" s="475"/>
      <c r="G27" s="475"/>
      <c r="H27" s="475"/>
      <c r="I27" s="475"/>
      <c r="J27" s="475"/>
      <c r="K27" s="475"/>
      <c r="L27" s="477"/>
    </row>
    <row r="28" spans="1:13" s="478" customFormat="1" ht="21.95" customHeight="1">
      <c r="A28" s="164" t="str">
        <f>'2.간선'!A4</f>
        <v>강제전선관</v>
      </c>
      <c r="B28" s="164" t="str">
        <f>'2.간선'!B4</f>
        <v>아연도 70C</v>
      </c>
      <c r="C28" s="495" t="str">
        <f>'2.간선'!C4</f>
        <v>m</v>
      </c>
      <c r="D28" s="22">
        <f ca="1">'2.간선'!L4</f>
        <v>8</v>
      </c>
      <c r="E28" s="475">
        <f>INT(VLOOKUP($A28&amp;$B28,단가!$C$3:$L$11927,3,FALSE))</f>
        <v>10574</v>
      </c>
      <c r="F28" s="475">
        <f t="shared" ref="F28:F46" ca="1" si="18">INT(D28*E28)</f>
        <v>84592</v>
      </c>
      <c r="G28" s="475"/>
      <c r="H28" s="475"/>
      <c r="I28" s="475"/>
      <c r="J28" s="475"/>
      <c r="K28" s="475">
        <f t="shared" ref="K28:K46" ca="1" si="19">SUM(F28+H28+J28)</f>
        <v>84592</v>
      </c>
      <c r="L28" s="477"/>
      <c r="M28" s="478">
        <v>1</v>
      </c>
    </row>
    <row r="29" spans="1:13" s="478" customFormat="1" ht="21.95" customHeight="1">
      <c r="A29" s="164" t="str">
        <f>'2.간선'!A5</f>
        <v>강제전선관</v>
      </c>
      <c r="B29" s="164" t="str">
        <f>'2.간선'!B5</f>
        <v>아연도 82C</v>
      </c>
      <c r="C29" s="495" t="str">
        <f>'2.간선'!C5</f>
        <v>m</v>
      </c>
      <c r="D29" s="22">
        <f ca="1">'2.간선'!L5</f>
        <v>6</v>
      </c>
      <c r="E29" s="475">
        <f>INT(VLOOKUP($A29&amp;$B29,단가!$C$3:$L$11927,3,FALSE))</f>
        <v>12166</v>
      </c>
      <c r="F29" s="475">
        <f t="shared" ca="1" si="18"/>
        <v>72996</v>
      </c>
      <c r="G29" s="475"/>
      <c r="H29" s="475"/>
      <c r="I29" s="475"/>
      <c r="J29" s="475"/>
      <c r="K29" s="475">
        <f t="shared" ca="1" si="19"/>
        <v>72996</v>
      </c>
      <c r="L29" s="477"/>
      <c r="M29" s="478">
        <v>1</v>
      </c>
    </row>
    <row r="30" spans="1:13" s="478" customFormat="1" ht="21.95" customHeight="1">
      <c r="A30" s="164" t="str">
        <f>'2.간선'!A6</f>
        <v>강제전선관</v>
      </c>
      <c r="B30" s="164" t="str">
        <f>'2.간선'!B6</f>
        <v>아연도 104C</v>
      </c>
      <c r="C30" s="495" t="str">
        <f>'2.간선'!C6</f>
        <v>m</v>
      </c>
      <c r="D30" s="22">
        <f ca="1">'2.간선'!L6</f>
        <v>12</v>
      </c>
      <c r="E30" s="475">
        <f>INT(VLOOKUP($A30&amp;$B30,단가!$C$3:$L$11927,3,FALSE))</f>
        <v>19626</v>
      </c>
      <c r="F30" s="475">
        <f t="shared" ca="1" si="18"/>
        <v>235512</v>
      </c>
      <c r="G30" s="475"/>
      <c r="H30" s="475"/>
      <c r="I30" s="475"/>
      <c r="J30" s="475"/>
      <c r="K30" s="475">
        <f t="shared" ca="1" si="19"/>
        <v>235512</v>
      </c>
      <c r="L30" s="477"/>
      <c r="M30" s="478">
        <v>1</v>
      </c>
    </row>
    <row r="31" spans="1:13" s="478" customFormat="1" ht="21.95" customHeight="1">
      <c r="A31" s="164" t="str">
        <f>'2.간선'!A7</f>
        <v>접지용전선</v>
      </c>
      <c r="B31" s="164" t="str">
        <f>'2.간선'!B7</f>
        <v>F-GV 16㎟</v>
      </c>
      <c r="C31" s="495" t="str">
        <f>'2.간선'!C7</f>
        <v>m</v>
      </c>
      <c r="D31" s="22">
        <f ca="1">'2.간선'!L7</f>
        <v>281</v>
      </c>
      <c r="E31" s="475">
        <f>INT(VLOOKUP($A31&amp;$B31,단가!$C$3:$L$11927,3,FALSE))</f>
        <v>3041</v>
      </c>
      <c r="F31" s="475">
        <f t="shared" ca="1" si="18"/>
        <v>854521</v>
      </c>
      <c r="G31" s="475"/>
      <c r="H31" s="475"/>
      <c r="I31" s="475"/>
      <c r="J31" s="475"/>
      <c r="K31" s="475">
        <f t="shared" ca="1" si="19"/>
        <v>854521</v>
      </c>
      <c r="L31" s="477"/>
      <c r="M31" s="478">
        <v>1</v>
      </c>
    </row>
    <row r="32" spans="1:13" s="478" customFormat="1" ht="21.95" customHeight="1">
      <c r="A32" s="164" t="str">
        <f>'2.간선'!A8</f>
        <v>접지용전선</v>
      </c>
      <c r="B32" s="164" t="str">
        <f>'2.간선'!B8</f>
        <v>F-GV 25㎟</v>
      </c>
      <c r="C32" s="495" t="str">
        <f>'2.간선'!C8</f>
        <v>m</v>
      </c>
      <c r="D32" s="22">
        <f ca="1">'2.간선'!L8</f>
        <v>144</v>
      </c>
      <c r="E32" s="475">
        <f>INT(VLOOKUP($A32&amp;$B32,단가!$C$3:$L$11927,3,FALSE))</f>
        <v>4392</v>
      </c>
      <c r="F32" s="475">
        <f t="shared" ca="1" si="18"/>
        <v>632448</v>
      </c>
      <c r="G32" s="475"/>
      <c r="H32" s="475"/>
      <c r="I32" s="475"/>
      <c r="J32" s="475"/>
      <c r="K32" s="475">
        <f t="shared" ca="1" si="19"/>
        <v>632448</v>
      </c>
      <c r="L32" s="477"/>
      <c r="M32" s="478">
        <v>1</v>
      </c>
    </row>
    <row r="33" spans="1:13" s="478" customFormat="1" ht="21.95" customHeight="1">
      <c r="A33" s="164" t="str">
        <f>'2.간선'!A9</f>
        <v>접지용전선</v>
      </c>
      <c r="B33" s="164" t="str">
        <f>'2.간선'!B9</f>
        <v>F-GV 50㎟</v>
      </c>
      <c r="C33" s="495" t="str">
        <f>'2.간선'!C9</f>
        <v>m</v>
      </c>
      <c r="D33" s="22">
        <f ca="1">'2.간선'!L9</f>
        <v>17</v>
      </c>
      <c r="E33" s="475">
        <f>INT(VLOOKUP($A33&amp;$B33,단가!$C$3:$L$11927,3,FALSE))</f>
        <v>8484</v>
      </c>
      <c r="F33" s="475">
        <f t="shared" ca="1" si="18"/>
        <v>144228</v>
      </c>
      <c r="G33" s="475"/>
      <c r="H33" s="475"/>
      <c r="I33" s="475"/>
      <c r="J33" s="475"/>
      <c r="K33" s="475">
        <f t="shared" ca="1" si="19"/>
        <v>144228</v>
      </c>
      <c r="L33" s="477"/>
      <c r="M33" s="478">
        <v>1</v>
      </c>
    </row>
    <row r="34" spans="1:13" s="478" customFormat="1" ht="21.95" customHeight="1">
      <c r="A34" s="164" t="str">
        <f>'2.간선'!A10</f>
        <v>접지용전선</v>
      </c>
      <c r="B34" s="164" t="str">
        <f>'2.간선'!B10</f>
        <v>F-GV 120㎟</v>
      </c>
      <c r="C34" s="495" t="str">
        <f>'2.간선'!C10</f>
        <v>m</v>
      </c>
      <c r="D34" s="22">
        <f ca="1">'2.간선'!L10</f>
        <v>135</v>
      </c>
      <c r="E34" s="475">
        <f>INT(VLOOKUP($A34&amp;$B34,단가!$C$3:$L$11927,3,FALSE))</f>
        <v>19053</v>
      </c>
      <c r="F34" s="475">
        <f t="shared" ca="1" si="18"/>
        <v>2572155</v>
      </c>
      <c r="G34" s="475"/>
      <c r="H34" s="475"/>
      <c r="I34" s="475"/>
      <c r="J34" s="475"/>
      <c r="K34" s="475">
        <f t="shared" ca="1" si="19"/>
        <v>2572155</v>
      </c>
      <c r="L34" s="477"/>
      <c r="M34" s="478">
        <v>1</v>
      </c>
    </row>
    <row r="35" spans="1:13" s="478" customFormat="1" ht="21.95" customHeight="1">
      <c r="A35" s="164" t="str">
        <f>'2.간선'!A11</f>
        <v>0.6/1KV난연케이블</v>
      </c>
      <c r="B35" s="164" t="str">
        <f>'2.간선'!B11</f>
        <v>F-CV 1/C 50㎟</v>
      </c>
      <c r="C35" s="495" t="str">
        <f>'2.간선'!C11</f>
        <v>m</v>
      </c>
      <c r="D35" s="22">
        <f ca="1">'2.간선'!L11</f>
        <v>517</v>
      </c>
      <c r="E35" s="475">
        <f>INT(VLOOKUP($A35&amp;$B35,단가!$C$3:$L$11927,3,FALSE))</f>
        <v>10515</v>
      </c>
      <c r="F35" s="475">
        <f t="shared" ca="1" si="18"/>
        <v>5436255</v>
      </c>
      <c r="G35" s="475"/>
      <c r="H35" s="475"/>
      <c r="I35" s="475"/>
      <c r="J35" s="475"/>
      <c r="K35" s="475">
        <f t="shared" ca="1" si="19"/>
        <v>5436255</v>
      </c>
      <c r="L35" s="477"/>
      <c r="M35" s="478">
        <v>1</v>
      </c>
    </row>
    <row r="36" spans="1:13" s="478" customFormat="1" ht="21.95" customHeight="1">
      <c r="A36" s="164" t="str">
        <f>'2.간선'!A12</f>
        <v>0.6/1KV난연케이블</v>
      </c>
      <c r="B36" s="164" t="str">
        <f>'2.간선'!B12</f>
        <v>F-CV 4/C 16㎟</v>
      </c>
      <c r="C36" s="495" t="str">
        <f>'2.간선'!C12</f>
        <v>m</v>
      </c>
      <c r="D36" s="22">
        <f ca="1">'2.간선'!L12</f>
        <v>129</v>
      </c>
      <c r="E36" s="475">
        <f>INT(VLOOKUP($A36&amp;$B36,단가!$C$3:$L$11927,3,FALSE))</f>
        <v>15126</v>
      </c>
      <c r="F36" s="475">
        <f t="shared" ca="1" si="18"/>
        <v>1951254</v>
      </c>
      <c r="G36" s="475"/>
      <c r="H36" s="475"/>
      <c r="I36" s="475"/>
      <c r="J36" s="475"/>
      <c r="K36" s="475">
        <f t="shared" ca="1" si="19"/>
        <v>1951254</v>
      </c>
      <c r="L36" s="477"/>
      <c r="M36" s="478">
        <v>1</v>
      </c>
    </row>
    <row r="37" spans="1:13" s="478" customFormat="1" ht="21.95" customHeight="1">
      <c r="A37" s="164" t="str">
        <f>'2.간선'!A13</f>
        <v>0.6/1KV내화케이블</v>
      </c>
      <c r="B37" s="164" t="str">
        <f>'2.간선'!B13</f>
        <v>FR-8 1/C 50㎟</v>
      </c>
      <c r="C37" s="495" t="str">
        <f>'2.간선'!C13</f>
        <v>m</v>
      </c>
      <c r="D37" s="22">
        <f ca="1">'2.간선'!L13</f>
        <v>32</v>
      </c>
      <c r="E37" s="475">
        <f>INT(VLOOKUP($A37&amp;$B37,단가!$C$3:$L$11927,3,FALSE))</f>
        <v>11725</v>
      </c>
      <c r="F37" s="475">
        <f t="shared" ca="1" si="18"/>
        <v>375200</v>
      </c>
      <c r="G37" s="475"/>
      <c r="H37" s="475"/>
      <c r="I37" s="475"/>
      <c r="J37" s="475"/>
      <c r="K37" s="475">
        <f t="shared" ca="1" si="19"/>
        <v>375200</v>
      </c>
      <c r="L37" s="477"/>
      <c r="M37" s="478">
        <v>1</v>
      </c>
    </row>
    <row r="38" spans="1:13" s="478" customFormat="1" ht="21.95" customHeight="1">
      <c r="A38" s="164" t="str">
        <f>'2.간선'!A14</f>
        <v>0.6/1KV내화케이블</v>
      </c>
      <c r="B38" s="164" t="str">
        <f>'2.간선'!B14</f>
        <v>FR-8 1/C 95㎟</v>
      </c>
      <c r="C38" s="495" t="str">
        <f>'2.간선'!C14</f>
        <v>m</v>
      </c>
      <c r="D38" s="22">
        <f ca="1">'2.간선'!L14</f>
        <v>63</v>
      </c>
      <c r="E38" s="475">
        <f>INT(VLOOKUP($A38&amp;$B38,단가!$C$3:$L$11927,3,FALSE))</f>
        <v>21458</v>
      </c>
      <c r="F38" s="475">
        <f t="shared" ca="1" si="18"/>
        <v>1351854</v>
      </c>
      <c r="G38" s="475"/>
      <c r="H38" s="475"/>
      <c r="I38" s="475"/>
      <c r="J38" s="475"/>
      <c r="K38" s="475">
        <f t="shared" ca="1" si="19"/>
        <v>1351854</v>
      </c>
      <c r="L38" s="477"/>
      <c r="M38" s="478">
        <v>1</v>
      </c>
    </row>
    <row r="39" spans="1:13" s="478" customFormat="1" ht="21.95" customHeight="1">
      <c r="A39" s="164" t="str">
        <f>'2.간선'!A15</f>
        <v>0.6/1KV내화케이블</v>
      </c>
      <c r="B39" s="164" t="str">
        <f>'2.간선'!B15</f>
        <v>FR-8 1/C 240㎟</v>
      </c>
      <c r="C39" s="495" t="str">
        <f>'2.간선'!C15</f>
        <v>m</v>
      </c>
      <c r="D39" s="22">
        <f ca="1">'2.간선'!L15</f>
        <v>517</v>
      </c>
      <c r="E39" s="475">
        <f>INT(VLOOKUP($A39&amp;$B39,단가!$C$3:$L$11927,3,FALSE))</f>
        <v>47382</v>
      </c>
      <c r="F39" s="475">
        <f t="shared" ref="F39:F41" ca="1" si="20">INT(D39*E39)</f>
        <v>24496494</v>
      </c>
      <c r="G39" s="475"/>
      <c r="H39" s="475"/>
      <c r="I39" s="475"/>
      <c r="J39" s="475"/>
      <c r="K39" s="475">
        <f t="shared" ref="K39:K41" ca="1" si="21">SUM(F39+H39+J39)</f>
        <v>24496494</v>
      </c>
      <c r="L39" s="477"/>
      <c r="M39" s="478">
        <v>1</v>
      </c>
    </row>
    <row r="40" spans="1:13" s="478" customFormat="1" ht="21.95" customHeight="1">
      <c r="A40" s="164" t="str">
        <f>'2.간선'!A16</f>
        <v>0.6/1KV내화케이블</v>
      </c>
      <c r="B40" s="164" t="str">
        <f>'2.간선'!B16</f>
        <v>FR-8 4/C 16㎟</v>
      </c>
      <c r="C40" s="495" t="str">
        <f>'2.간선'!C16</f>
        <v>m</v>
      </c>
      <c r="D40" s="22">
        <f ca="1">'2.간선'!L16</f>
        <v>129</v>
      </c>
      <c r="E40" s="475">
        <f>INT(VLOOKUP($A40&amp;$B40,단가!$C$3:$L$11927,3,FALSE))</f>
        <v>17258</v>
      </c>
      <c r="F40" s="475">
        <f t="shared" ca="1" si="20"/>
        <v>2226282</v>
      </c>
      <c r="G40" s="475"/>
      <c r="H40" s="475"/>
      <c r="I40" s="475"/>
      <c r="J40" s="475"/>
      <c r="K40" s="475">
        <f t="shared" ca="1" si="21"/>
        <v>2226282</v>
      </c>
      <c r="L40" s="477"/>
      <c r="M40" s="478">
        <v>1</v>
      </c>
    </row>
    <row r="41" spans="1:13" s="478" customFormat="1" ht="21.95" customHeight="1">
      <c r="A41" s="164" t="str">
        <f>'2.간선'!A17</f>
        <v>0.6/1KV내화케이블</v>
      </c>
      <c r="B41" s="164" t="str">
        <f>'2.간선'!B17</f>
        <v>FR-8 4/C 35㎟</v>
      </c>
      <c r="C41" s="495" t="str">
        <f>'2.간선'!C17</f>
        <v>m</v>
      </c>
      <c r="D41" s="22">
        <f ca="1">'2.간선'!L17</f>
        <v>9</v>
      </c>
      <c r="E41" s="475">
        <f>INT(VLOOKUP($A41&amp;$B41,단가!$C$3:$L$11927,3,FALSE))</f>
        <v>37031</v>
      </c>
      <c r="F41" s="475">
        <f t="shared" ca="1" si="20"/>
        <v>333279</v>
      </c>
      <c r="G41" s="475"/>
      <c r="H41" s="475"/>
      <c r="I41" s="475"/>
      <c r="J41" s="475"/>
      <c r="K41" s="475">
        <f t="shared" ca="1" si="21"/>
        <v>333279</v>
      </c>
      <c r="L41" s="477"/>
      <c r="M41" s="478">
        <v>1</v>
      </c>
    </row>
    <row r="42" spans="1:13" s="478" customFormat="1" ht="21.95" customHeight="1">
      <c r="A42" s="164" t="str">
        <f>'2.간선'!A18</f>
        <v>PULL BOX</v>
      </c>
      <c r="B42" s="164" t="str">
        <f>'2.간선'!B18</f>
        <v>300x300x200</v>
      </c>
      <c r="C42" s="495" t="str">
        <f>'2.간선'!C18</f>
        <v>EA</v>
      </c>
      <c r="D42" s="22">
        <f>'2.간선'!L18</f>
        <v>1</v>
      </c>
      <c r="E42" s="475">
        <f>INT(VLOOKUP($A42&amp;$B42,단가!$C$3:$L$11927,3,FALSE))</f>
        <v>10391</v>
      </c>
      <c r="F42" s="475">
        <f t="shared" si="18"/>
        <v>10391</v>
      </c>
      <c r="G42" s="475"/>
      <c r="H42" s="475"/>
      <c r="I42" s="475"/>
      <c r="J42" s="475"/>
      <c r="K42" s="475">
        <f t="shared" si="19"/>
        <v>10391</v>
      </c>
      <c r="L42" s="477"/>
      <c r="M42" s="478">
        <v>1</v>
      </c>
    </row>
    <row r="43" spans="1:13" s="478" customFormat="1" ht="21.95" customHeight="1">
      <c r="A43" s="164" t="str">
        <f>'2.간선'!A19</f>
        <v>전선관지지행거 설치</v>
      </c>
      <c r="B43" s="164" t="str">
        <f>'2.간선'!B19</f>
        <v>70C</v>
      </c>
      <c r="C43" s="495" t="str">
        <f>'2.간선'!C19</f>
        <v>개소</v>
      </c>
      <c r="D43" s="22">
        <f ca="1">'2.간선'!L19</f>
        <v>4</v>
      </c>
      <c r="E43" s="475">
        <f>일위집계!G6</f>
        <v>2041</v>
      </c>
      <c r="F43" s="475">
        <f t="shared" ca="1" si="18"/>
        <v>8164</v>
      </c>
      <c r="G43" s="475">
        <f>일위집계!I6</f>
        <v>9852</v>
      </c>
      <c r="H43" s="475">
        <f t="shared" ref="H43:H45" ca="1" si="22">INT(D43*G43)</f>
        <v>39408</v>
      </c>
      <c r="I43" s="475"/>
      <c r="J43" s="475"/>
      <c r="K43" s="475">
        <f t="shared" ca="1" si="19"/>
        <v>47572</v>
      </c>
      <c r="L43" s="477" t="s">
        <v>1828</v>
      </c>
      <c r="M43" s="478">
        <v>1</v>
      </c>
    </row>
    <row r="44" spans="1:13" s="478" customFormat="1" ht="21.95" customHeight="1">
      <c r="A44" s="164" t="str">
        <f>'2.간선'!A20</f>
        <v>전선관지지행거 설치</v>
      </c>
      <c r="B44" s="164" t="str">
        <f>'2.간선'!B20</f>
        <v>82C</v>
      </c>
      <c r="C44" s="495" t="str">
        <f>'2.간선'!C20</f>
        <v>개소</v>
      </c>
      <c r="D44" s="22">
        <f ca="1">'2.간선'!L20</f>
        <v>3</v>
      </c>
      <c r="E44" s="475">
        <f>일위집계!G7</f>
        <v>2492</v>
      </c>
      <c r="F44" s="475">
        <f t="shared" ca="1" si="18"/>
        <v>7476</v>
      </c>
      <c r="G44" s="475">
        <f>일위집계!I7</f>
        <v>9852</v>
      </c>
      <c r="H44" s="475">
        <f t="shared" ca="1" si="22"/>
        <v>29556</v>
      </c>
      <c r="I44" s="475"/>
      <c r="J44" s="475"/>
      <c r="K44" s="475">
        <f t="shared" ca="1" si="19"/>
        <v>37032</v>
      </c>
      <c r="L44" s="477" t="s">
        <v>1829</v>
      </c>
      <c r="M44" s="478">
        <v>1</v>
      </c>
    </row>
    <row r="45" spans="1:13" s="478" customFormat="1" ht="21.95" customHeight="1">
      <c r="A45" s="164" t="str">
        <f>'2.간선'!A21</f>
        <v>전선관지지행거 설치</v>
      </c>
      <c r="B45" s="164" t="str">
        <f>'2.간선'!B21</f>
        <v>104C</v>
      </c>
      <c r="C45" s="495" t="str">
        <f>'2.간선'!C21</f>
        <v>개소</v>
      </c>
      <c r="D45" s="22">
        <f ca="1">'2.간선'!L21</f>
        <v>7</v>
      </c>
      <c r="E45" s="475">
        <f>일위집계!G8</f>
        <v>2680</v>
      </c>
      <c r="F45" s="475">
        <f t="shared" ca="1" si="18"/>
        <v>18760</v>
      </c>
      <c r="G45" s="475">
        <f>일위집계!I8</f>
        <v>9852</v>
      </c>
      <c r="H45" s="475">
        <f t="shared" ca="1" si="22"/>
        <v>68964</v>
      </c>
      <c r="I45" s="475"/>
      <c r="J45" s="475"/>
      <c r="K45" s="475">
        <f t="shared" ca="1" si="19"/>
        <v>87724</v>
      </c>
      <c r="L45" s="477" t="s">
        <v>1830</v>
      </c>
      <c r="M45" s="478">
        <v>1</v>
      </c>
    </row>
    <row r="46" spans="1:13" s="478" customFormat="1" ht="21.95" customHeight="1">
      <c r="A46" s="164" t="str">
        <f>'2.간선'!A22</f>
        <v>수배전반 개조</v>
      </c>
      <c r="B46" s="164" t="str">
        <f>단가!B522</f>
        <v>ATS 저압반</v>
      </c>
      <c r="C46" s="495" t="str">
        <f>'2.간선'!C22</f>
        <v>식</v>
      </c>
      <c r="D46" s="22">
        <f>'2.간선'!L22</f>
        <v>1</v>
      </c>
      <c r="E46" s="475">
        <v>18450163</v>
      </c>
      <c r="F46" s="475">
        <f t="shared" si="18"/>
        <v>18450163</v>
      </c>
      <c r="G46" s="475"/>
      <c r="H46" s="475"/>
      <c r="I46" s="475"/>
      <c r="J46" s="475"/>
      <c r="K46" s="475">
        <f t="shared" si="19"/>
        <v>18450163</v>
      </c>
      <c r="L46" s="477"/>
      <c r="M46" s="478">
        <v>1</v>
      </c>
    </row>
    <row r="47" spans="1:13" s="478" customFormat="1" ht="21.95" customHeight="1">
      <c r="A47" s="290" t="s">
        <v>123</v>
      </c>
      <c r="B47" s="290" t="s">
        <v>124</v>
      </c>
      <c r="C47" s="99" t="s">
        <v>98</v>
      </c>
      <c r="D47" s="22">
        <v>1</v>
      </c>
      <c r="E47" s="475">
        <f ca="1">SUM(F28:F30)</f>
        <v>393100</v>
      </c>
      <c r="F47" s="475">
        <f ca="1">INT(E47*0.15)</f>
        <v>58965</v>
      </c>
      <c r="G47" s="475"/>
      <c r="H47" s="475"/>
      <c r="I47" s="475"/>
      <c r="J47" s="475"/>
      <c r="K47" s="475">
        <f t="shared" ref="K47:K51" ca="1" si="23">SUM(F47+H47+J47)</f>
        <v>58965</v>
      </c>
      <c r="L47" s="477"/>
    </row>
    <row r="48" spans="1:13" s="478" customFormat="1" ht="21.95" customHeight="1">
      <c r="A48" s="290" t="s">
        <v>125</v>
      </c>
      <c r="B48" s="290" t="s">
        <v>126</v>
      </c>
      <c r="C48" s="99" t="s">
        <v>98</v>
      </c>
      <c r="D48" s="22">
        <v>1</v>
      </c>
      <c r="E48" s="475">
        <f ca="1">SUM(F28:F41)</f>
        <v>40767070</v>
      </c>
      <c r="F48" s="475">
        <f ca="1">INT(E48*0.02)</f>
        <v>815341</v>
      </c>
      <c r="G48" s="475"/>
      <c r="H48" s="475"/>
      <c r="I48" s="475"/>
      <c r="J48" s="475"/>
      <c r="K48" s="475">
        <f t="shared" ca="1" si="23"/>
        <v>815341</v>
      </c>
      <c r="L48" s="477"/>
    </row>
    <row r="49" spans="1:12" s="478" customFormat="1" ht="21.95" customHeight="1">
      <c r="A49" s="394" t="s">
        <v>113</v>
      </c>
      <c r="B49" s="394" t="s">
        <v>478</v>
      </c>
      <c r="C49" s="99" t="s">
        <v>114</v>
      </c>
      <c r="D49" s="22">
        <f ca="1">'2.간선'!N26</f>
        <v>16.7</v>
      </c>
      <c r="E49" s="475"/>
      <c r="F49" s="475"/>
      <c r="G49" s="475">
        <f>INT(VLOOKUP($A49&amp;$B49,단가!$C$3:$L$11927,3,FALSE))</f>
        <v>273676</v>
      </c>
      <c r="H49" s="475">
        <f ca="1">INT(D49*G49)</f>
        <v>4570389</v>
      </c>
      <c r="I49" s="475"/>
      <c r="J49" s="475"/>
      <c r="K49" s="475">
        <f t="shared" ca="1" si="23"/>
        <v>4570389</v>
      </c>
      <c r="L49" s="477"/>
    </row>
    <row r="50" spans="1:12" s="478" customFormat="1" ht="21.95" customHeight="1">
      <c r="A50" s="394" t="s">
        <v>113</v>
      </c>
      <c r="B50" s="394" t="s">
        <v>1215</v>
      </c>
      <c r="C50" s="99" t="s">
        <v>114</v>
      </c>
      <c r="D50" s="22">
        <f ca="1">'2.간선'!P26</f>
        <v>78</v>
      </c>
      <c r="E50" s="475"/>
      <c r="F50" s="475"/>
      <c r="G50" s="475">
        <f>INT(VLOOKUP($A50&amp;$B50,단가!$C$3:$L$11927,3,FALSE))</f>
        <v>304156</v>
      </c>
      <c r="H50" s="475">
        <f ca="1">INT(D50*G50)</f>
        <v>23724168</v>
      </c>
      <c r="I50" s="475"/>
      <c r="J50" s="475"/>
      <c r="K50" s="475">
        <f t="shared" ca="1" si="23"/>
        <v>23724168</v>
      </c>
      <c r="L50" s="477"/>
    </row>
    <row r="51" spans="1:12" s="478" customFormat="1" ht="21.95" customHeight="1">
      <c r="A51" s="394" t="s">
        <v>1472</v>
      </c>
      <c r="B51" s="394" t="s">
        <v>1473</v>
      </c>
      <c r="C51" s="99" t="s">
        <v>375</v>
      </c>
      <c r="D51" s="22">
        <v>1</v>
      </c>
      <c r="E51" s="475">
        <f ca="1">H53</f>
        <v>28432485</v>
      </c>
      <c r="F51" s="475">
        <f ca="1">INT(E51*0.03)</f>
        <v>852974</v>
      </c>
      <c r="G51" s="475"/>
      <c r="H51" s="475">
        <f>INT(D51*G51)</f>
        <v>0</v>
      </c>
      <c r="I51" s="475"/>
      <c r="J51" s="475"/>
      <c r="K51" s="475">
        <f t="shared" ca="1" si="23"/>
        <v>852974</v>
      </c>
      <c r="L51" s="477"/>
    </row>
    <row r="52" spans="1:12" s="478" customFormat="1" ht="21.95" customHeight="1">
      <c r="A52" s="290"/>
      <c r="B52" s="506"/>
      <c r="C52" s="99"/>
      <c r="D52" s="22"/>
      <c r="E52" s="475"/>
      <c r="F52" s="475"/>
      <c r="G52" s="475"/>
      <c r="H52" s="475"/>
      <c r="I52" s="475"/>
      <c r="J52" s="475"/>
      <c r="K52" s="475"/>
      <c r="L52" s="477"/>
    </row>
    <row r="53" spans="1:12" s="478" customFormat="1" ht="21.95" customHeight="1">
      <c r="A53" s="164" t="s">
        <v>127</v>
      </c>
      <c r="B53" s="165"/>
      <c r="C53" s="99"/>
      <c r="D53" s="22"/>
      <c r="E53" s="475"/>
      <c r="F53" s="475">
        <f ca="1">SUM(F28:F52)</f>
        <v>60989304</v>
      </c>
      <c r="G53" s="475"/>
      <c r="H53" s="475">
        <f ca="1">SUM(H28:H52)</f>
        <v>28432485</v>
      </c>
      <c r="I53" s="475"/>
      <c r="J53" s="475">
        <f>SUM(J28:J52)</f>
        <v>0</v>
      </c>
      <c r="K53" s="475">
        <f ca="1">SUM(F53+H53+J53)</f>
        <v>89421789</v>
      </c>
      <c r="L53" s="477"/>
    </row>
    <row r="54" spans="1:12" s="478" customFormat="1" ht="21.95" customHeight="1">
      <c r="A54" s="290"/>
      <c r="B54" s="506"/>
      <c r="C54" s="99"/>
      <c r="D54" s="22"/>
      <c r="E54" s="475"/>
      <c r="F54" s="475"/>
      <c r="G54" s="475"/>
      <c r="H54" s="475"/>
      <c r="I54" s="475"/>
      <c r="J54" s="475"/>
      <c r="K54" s="475"/>
      <c r="L54" s="477"/>
    </row>
    <row r="55" spans="1:12" s="478" customFormat="1" ht="21.95" customHeight="1">
      <c r="A55" s="290"/>
      <c r="B55" s="506"/>
      <c r="C55" s="99"/>
      <c r="D55" s="22"/>
      <c r="E55" s="475"/>
      <c r="F55" s="475"/>
      <c r="G55" s="475"/>
      <c r="H55" s="475"/>
      <c r="I55" s="475"/>
      <c r="J55" s="475"/>
      <c r="K55" s="475"/>
      <c r="L55" s="477"/>
    </row>
    <row r="56" spans="1:12" s="478" customFormat="1" ht="21.95" customHeight="1">
      <c r="A56" s="290"/>
      <c r="B56" s="506"/>
      <c r="C56" s="99"/>
      <c r="D56" s="22"/>
      <c r="E56" s="475"/>
      <c r="F56" s="475"/>
      <c r="G56" s="475"/>
      <c r="H56" s="475"/>
      <c r="I56" s="475"/>
      <c r="J56" s="475"/>
      <c r="K56" s="475"/>
      <c r="L56" s="477"/>
    </row>
    <row r="57" spans="1:12" s="478" customFormat="1" ht="21.95" customHeight="1">
      <c r="A57" s="290"/>
      <c r="B57" s="506"/>
      <c r="C57" s="99"/>
      <c r="D57" s="22"/>
      <c r="E57" s="475"/>
      <c r="F57" s="475"/>
      <c r="G57" s="475"/>
      <c r="H57" s="475"/>
      <c r="I57" s="475"/>
      <c r="J57" s="475"/>
      <c r="K57" s="475"/>
      <c r="L57" s="477"/>
    </row>
    <row r="58" spans="1:12" s="478" customFormat="1" ht="21.95" customHeight="1">
      <c r="A58" s="290"/>
      <c r="B58" s="506"/>
      <c r="C58" s="99"/>
      <c r="D58" s="22"/>
      <c r="E58" s="475"/>
      <c r="F58" s="475"/>
      <c r="G58" s="475"/>
      <c r="H58" s="475"/>
      <c r="I58" s="475"/>
      <c r="J58" s="475"/>
      <c r="K58" s="475"/>
      <c r="L58" s="477"/>
    </row>
    <row r="59" spans="1:12" s="478" customFormat="1" ht="21.95" customHeight="1">
      <c r="A59" s="290"/>
      <c r="B59" s="506"/>
      <c r="C59" s="99"/>
      <c r="D59" s="22"/>
      <c r="E59" s="475"/>
      <c r="F59" s="475"/>
      <c r="G59" s="475"/>
      <c r="H59" s="475"/>
      <c r="I59" s="475"/>
      <c r="J59" s="475"/>
      <c r="K59" s="475"/>
      <c r="L59" s="477"/>
    </row>
    <row r="60" spans="1:12" s="478" customFormat="1" ht="21.95" customHeight="1">
      <c r="A60" s="290"/>
      <c r="B60" s="506"/>
      <c r="C60" s="99"/>
      <c r="D60" s="22"/>
      <c r="E60" s="475"/>
      <c r="F60" s="475"/>
      <c r="G60" s="475"/>
      <c r="H60" s="475"/>
      <c r="I60" s="475"/>
      <c r="J60" s="475"/>
      <c r="K60" s="475"/>
      <c r="L60" s="477"/>
    </row>
    <row r="61" spans="1:12" s="478" customFormat="1" ht="21.95" customHeight="1">
      <c r="A61" s="290"/>
      <c r="B61" s="506"/>
      <c r="C61" s="99"/>
      <c r="D61" s="22"/>
      <c r="E61" s="475"/>
      <c r="F61" s="475"/>
      <c r="G61" s="475"/>
      <c r="H61" s="475"/>
      <c r="I61" s="475"/>
      <c r="J61" s="475"/>
      <c r="K61" s="475"/>
      <c r="L61" s="477"/>
    </row>
    <row r="62" spans="1:12" s="478" customFormat="1" ht="21.95" customHeight="1">
      <c r="A62" s="290"/>
      <c r="B62" s="506"/>
      <c r="C62" s="99"/>
      <c r="D62" s="22"/>
      <c r="E62" s="475"/>
      <c r="F62" s="475"/>
      <c r="G62" s="475"/>
      <c r="H62" s="475"/>
      <c r="I62" s="475"/>
      <c r="J62" s="475"/>
      <c r="K62" s="475"/>
      <c r="L62" s="477"/>
    </row>
    <row r="63" spans="1:12" s="478" customFormat="1" ht="21.95" customHeight="1">
      <c r="A63" s="290"/>
      <c r="B63" s="506"/>
      <c r="C63" s="99"/>
      <c r="D63" s="22"/>
      <c r="E63" s="475"/>
      <c r="F63" s="475"/>
      <c r="G63" s="475"/>
      <c r="H63" s="475"/>
      <c r="I63" s="475"/>
      <c r="J63" s="475"/>
      <c r="K63" s="475"/>
      <c r="L63" s="477"/>
    </row>
    <row r="64" spans="1:12" s="478" customFormat="1" ht="21.95" customHeight="1">
      <c r="A64" s="290"/>
      <c r="B64" s="506"/>
      <c r="C64" s="99"/>
      <c r="D64" s="22"/>
      <c r="E64" s="475"/>
      <c r="F64" s="475"/>
      <c r="G64" s="475"/>
      <c r="H64" s="475"/>
      <c r="I64" s="475"/>
      <c r="J64" s="475"/>
      <c r="K64" s="475"/>
      <c r="L64" s="477"/>
    </row>
    <row r="65" spans="1:12" s="478" customFormat="1" ht="21.95" customHeight="1">
      <c r="A65" s="290"/>
      <c r="B65" s="506"/>
      <c r="C65" s="99"/>
      <c r="D65" s="22"/>
      <c r="E65" s="475"/>
      <c r="F65" s="475"/>
      <c r="G65" s="475"/>
      <c r="H65" s="475"/>
      <c r="I65" s="475"/>
      <c r="J65" s="475"/>
      <c r="K65" s="475"/>
      <c r="L65" s="477"/>
    </row>
    <row r="66" spans="1:12" s="478" customFormat="1" ht="21.95" customHeight="1">
      <c r="A66" s="290"/>
      <c r="B66" s="506"/>
      <c r="C66" s="99"/>
      <c r="D66" s="22"/>
      <c r="E66" s="475"/>
      <c r="F66" s="475"/>
      <c r="G66" s="475"/>
      <c r="H66" s="475"/>
      <c r="I66" s="475"/>
      <c r="J66" s="475"/>
      <c r="K66" s="475"/>
      <c r="L66" s="477"/>
    </row>
    <row r="67" spans="1:12" s="478" customFormat="1" ht="21.95" customHeight="1">
      <c r="A67" s="290"/>
      <c r="B67" s="506"/>
      <c r="C67" s="99"/>
      <c r="D67" s="22"/>
      <c r="E67" s="475"/>
      <c r="F67" s="475"/>
      <c r="G67" s="475"/>
      <c r="H67" s="475"/>
      <c r="I67" s="475"/>
      <c r="J67" s="475"/>
      <c r="K67" s="475"/>
      <c r="L67" s="477"/>
    </row>
    <row r="68" spans="1:12" s="478" customFormat="1" ht="21.95" customHeight="1">
      <c r="A68" s="290"/>
      <c r="B68" s="506"/>
      <c r="C68" s="99"/>
      <c r="D68" s="22"/>
      <c r="E68" s="475"/>
      <c r="F68" s="475"/>
      <c r="G68" s="475"/>
      <c r="H68" s="475"/>
      <c r="I68" s="475"/>
      <c r="J68" s="475"/>
      <c r="K68" s="475"/>
      <c r="L68" s="477"/>
    </row>
    <row r="69" spans="1:12" s="478" customFormat="1" ht="21.95" customHeight="1">
      <c r="A69" s="290"/>
      <c r="B69" s="506"/>
      <c r="C69" s="99"/>
      <c r="D69" s="22"/>
      <c r="E69" s="475"/>
      <c r="F69" s="475"/>
      <c r="G69" s="475"/>
      <c r="H69" s="475"/>
      <c r="I69" s="475"/>
      <c r="J69" s="475"/>
      <c r="K69" s="475"/>
      <c r="L69" s="477"/>
    </row>
    <row r="70" spans="1:12" s="478" customFormat="1" ht="21.95" customHeight="1">
      <c r="A70" s="290"/>
      <c r="B70" s="506"/>
      <c r="C70" s="99"/>
      <c r="D70" s="22"/>
      <c r="E70" s="475"/>
      <c r="F70" s="475"/>
      <c r="G70" s="475"/>
      <c r="H70" s="475"/>
      <c r="I70" s="475"/>
      <c r="J70" s="475"/>
      <c r="K70" s="475"/>
      <c r="L70" s="477"/>
    </row>
    <row r="71" spans="1:12" s="478" customFormat="1" ht="21.95" customHeight="1">
      <c r="A71" s="290"/>
      <c r="B71" s="506"/>
      <c r="C71" s="99"/>
      <c r="D71" s="22"/>
      <c r="E71" s="475"/>
      <c r="F71" s="475"/>
      <c r="G71" s="475"/>
      <c r="H71" s="475"/>
      <c r="I71" s="475"/>
      <c r="J71" s="475"/>
      <c r="K71" s="475"/>
      <c r="L71" s="477"/>
    </row>
    <row r="72" spans="1:12" s="478" customFormat="1" ht="21.95" customHeight="1">
      <c r="A72" s="290"/>
      <c r="B72" s="506"/>
      <c r="C72" s="99"/>
      <c r="D72" s="22"/>
      <c r="E72" s="475"/>
      <c r="F72" s="475"/>
      <c r="G72" s="475"/>
      <c r="H72" s="475"/>
      <c r="I72" s="475"/>
      <c r="J72" s="475"/>
      <c r="K72" s="475"/>
      <c r="L72" s="477"/>
    </row>
    <row r="73" spans="1:12" s="478" customFormat="1" ht="21.95" customHeight="1">
      <c r="A73" s="290"/>
      <c r="B73" s="506"/>
      <c r="C73" s="99"/>
      <c r="D73" s="22"/>
      <c r="E73" s="475"/>
      <c r="F73" s="475"/>
      <c r="G73" s="475"/>
      <c r="H73" s="475"/>
      <c r="I73" s="475"/>
      <c r="J73" s="475"/>
      <c r="K73" s="475"/>
      <c r="L73" s="477"/>
    </row>
  </sheetData>
  <mergeCells count="9">
    <mergeCell ref="A1:A2"/>
    <mergeCell ref="L1:L2"/>
    <mergeCell ref="E1:F1"/>
    <mergeCell ref="G1:H1"/>
    <mergeCell ref="I1:J1"/>
    <mergeCell ref="K1:K2"/>
    <mergeCell ref="B1:B2"/>
    <mergeCell ref="D1:D2"/>
    <mergeCell ref="C1:C2"/>
  </mergeCells>
  <phoneticPr fontId="11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&amp;C&amp;"굴림체,굵게"&amp;14설  계  내  역  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7">
    <tabColor rgb="FFC00000"/>
  </sheetPr>
  <dimension ref="A1:L50"/>
  <sheetViews>
    <sheetView showZeros="0" view="pageBreakPreview" topLeftCell="A19" zoomScaleSheetLayoutView="100" workbookViewId="0">
      <selection activeCell="A37" sqref="A37"/>
    </sheetView>
  </sheetViews>
  <sheetFormatPr defaultRowHeight="21" customHeight="1"/>
  <cols>
    <col min="1" max="2" width="19.77734375" style="161" customWidth="1"/>
    <col min="3" max="3" width="4.77734375" style="120" customWidth="1"/>
    <col min="4" max="4" width="6.77734375" style="375" customWidth="1"/>
    <col min="5" max="11" width="10.77734375" style="163" customWidth="1"/>
    <col min="12" max="12" width="8.5546875" style="376" customWidth="1"/>
    <col min="13" max="13" width="9.33203125" style="162" bestFit="1" customWidth="1"/>
    <col min="14" max="16384" width="8.88671875" style="162"/>
  </cols>
  <sheetData>
    <row r="1" spans="1:12" s="478" customFormat="1" ht="21.95" customHeight="1">
      <c r="A1" s="613" t="s">
        <v>365</v>
      </c>
      <c r="B1" s="613" t="s">
        <v>366</v>
      </c>
      <c r="C1" s="617" t="s">
        <v>367</v>
      </c>
      <c r="D1" s="616" t="s">
        <v>368</v>
      </c>
      <c r="E1" s="615" t="s">
        <v>369</v>
      </c>
      <c r="F1" s="615"/>
      <c r="G1" s="615" t="s">
        <v>370</v>
      </c>
      <c r="H1" s="615"/>
      <c r="I1" s="615" t="s">
        <v>371</v>
      </c>
      <c r="J1" s="615"/>
      <c r="K1" s="615" t="s">
        <v>372</v>
      </c>
      <c r="L1" s="614" t="s">
        <v>364</v>
      </c>
    </row>
    <row r="2" spans="1:12" s="478" customFormat="1" ht="21.95" customHeight="1">
      <c r="A2" s="613"/>
      <c r="B2" s="613"/>
      <c r="C2" s="618"/>
      <c r="D2" s="616"/>
      <c r="E2" s="122" t="s">
        <v>373</v>
      </c>
      <c r="F2" s="122" t="s">
        <v>1123</v>
      </c>
      <c r="G2" s="122" t="s">
        <v>373</v>
      </c>
      <c r="H2" s="122" t="s">
        <v>1123</v>
      </c>
      <c r="I2" s="122" t="s">
        <v>373</v>
      </c>
      <c r="J2" s="122" t="s">
        <v>1123</v>
      </c>
      <c r="K2" s="615"/>
      <c r="L2" s="614"/>
    </row>
    <row r="3" spans="1:12" s="478" customFormat="1" ht="21.95" customHeight="1">
      <c r="A3" s="164" t="s">
        <v>1186</v>
      </c>
      <c r="B3" s="165"/>
      <c r="C3" s="99"/>
      <c r="D3" s="22"/>
      <c r="E3" s="475"/>
      <c r="F3" s="475"/>
      <c r="G3" s="475"/>
      <c r="H3" s="475"/>
      <c r="I3" s="475"/>
      <c r="J3" s="475"/>
      <c r="K3" s="475"/>
      <c r="L3" s="477"/>
    </row>
    <row r="4" spans="1:12" s="478" customFormat="1" ht="21.95" customHeight="1">
      <c r="A4" s="164" t="str">
        <f>A27</f>
        <v>1. F동 작업부산물 고재차감</v>
      </c>
      <c r="B4" s="165"/>
      <c r="C4" s="99" t="s">
        <v>1049</v>
      </c>
      <c r="D4" s="22">
        <v>1</v>
      </c>
      <c r="E4" s="475"/>
      <c r="F4" s="475" t="e">
        <f>K36</f>
        <v>#REF!</v>
      </c>
      <c r="G4" s="475"/>
      <c r="H4" s="475"/>
      <c r="I4" s="475"/>
      <c r="J4" s="475"/>
      <c r="K4" s="475" t="e">
        <f>SUM(F4+H4+J4)</f>
        <v>#REF!</v>
      </c>
      <c r="L4" s="477"/>
    </row>
    <row r="5" spans="1:12" s="478" customFormat="1" ht="21.95" customHeight="1">
      <c r="A5" s="164" t="str">
        <f>A38</f>
        <v>2. H동 작업부산물 고재차감</v>
      </c>
      <c r="B5" s="165"/>
      <c r="C5" s="99" t="s">
        <v>1049</v>
      </c>
      <c r="D5" s="22">
        <v>1</v>
      </c>
      <c r="E5" s="475"/>
      <c r="F5" s="475" t="e">
        <f>K44</f>
        <v>#REF!</v>
      </c>
      <c r="G5" s="475"/>
      <c r="H5" s="475"/>
      <c r="I5" s="475"/>
      <c r="J5" s="475"/>
      <c r="K5" s="475" t="e">
        <f>SUM(F5+H5+J5)</f>
        <v>#REF!</v>
      </c>
      <c r="L5" s="477"/>
    </row>
    <row r="6" spans="1:12" s="478" customFormat="1" ht="21.95" customHeight="1">
      <c r="A6" s="164"/>
      <c r="B6" s="165"/>
      <c r="C6" s="99"/>
      <c r="D6" s="22"/>
      <c r="E6" s="475"/>
      <c r="F6" s="475"/>
      <c r="G6" s="475"/>
      <c r="H6" s="475"/>
      <c r="I6" s="475"/>
      <c r="J6" s="475"/>
      <c r="K6" s="475"/>
      <c r="L6" s="477"/>
    </row>
    <row r="7" spans="1:12" s="478" customFormat="1" ht="21.95" customHeight="1">
      <c r="A7" s="164" t="s">
        <v>127</v>
      </c>
      <c r="B7" s="165"/>
      <c r="C7" s="99"/>
      <c r="D7" s="22"/>
      <c r="E7" s="475"/>
      <c r="F7" s="475"/>
      <c r="G7" s="475"/>
      <c r="H7" s="475"/>
      <c r="I7" s="475"/>
      <c r="J7" s="475"/>
      <c r="K7" s="475" t="e">
        <f>SUM(K4:K6)</f>
        <v>#REF!</v>
      </c>
      <c r="L7" s="477"/>
    </row>
    <row r="8" spans="1:12" s="478" customFormat="1" ht="21.95" customHeight="1">
      <c r="A8" s="164"/>
      <c r="B8" s="165"/>
      <c r="C8" s="99"/>
      <c r="D8" s="22"/>
      <c r="E8" s="475"/>
      <c r="F8" s="475"/>
      <c r="G8" s="475"/>
      <c r="H8" s="475"/>
      <c r="I8" s="475"/>
      <c r="J8" s="475"/>
      <c r="K8" s="475"/>
      <c r="L8" s="477"/>
    </row>
    <row r="9" spans="1:12" s="478" customFormat="1" ht="21.95" customHeight="1">
      <c r="A9" s="164"/>
      <c r="B9" s="165"/>
      <c r="C9" s="99"/>
      <c r="D9" s="22"/>
      <c r="E9" s="475"/>
      <c r="F9" s="475"/>
      <c r="G9" s="475"/>
      <c r="H9" s="475"/>
      <c r="I9" s="475"/>
      <c r="J9" s="475"/>
      <c r="K9" s="475"/>
      <c r="L9" s="477"/>
    </row>
    <row r="10" spans="1:12" s="478" customFormat="1" ht="21.95" customHeight="1">
      <c r="A10" s="164"/>
      <c r="B10" s="165"/>
      <c r="C10" s="99"/>
      <c r="D10" s="22"/>
      <c r="E10" s="475"/>
      <c r="F10" s="475"/>
      <c r="G10" s="475"/>
      <c r="H10" s="475"/>
      <c r="I10" s="475"/>
      <c r="J10" s="475"/>
      <c r="K10" s="475"/>
      <c r="L10" s="477"/>
    </row>
    <row r="11" spans="1:12" s="478" customFormat="1" ht="21.95" customHeight="1">
      <c r="A11" s="164"/>
      <c r="B11" s="165"/>
      <c r="C11" s="99"/>
      <c r="D11" s="22"/>
      <c r="E11" s="475"/>
      <c r="F11" s="475"/>
      <c r="G11" s="475"/>
      <c r="H11" s="475"/>
      <c r="I11" s="475"/>
      <c r="J11" s="475"/>
      <c r="K11" s="475"/>
      <c r="L11" s="477"/>
    </row>
    <row r="12" spans="1:12" s="478" customFormat="1" ht="21.95" customHeight="1">
      <c r="A12" s="164"/>
      <c r="B12" s="165"/>
      <c r="C12" s="99"/>
      <c r="D12" s="22"/>
      <c r="E12" s="475"/>
      <c r="F12" s="475"/>
      <c r="G12" s="475"/>
      <c r="H12" s="475"/>
      <c r="I12" s="475"/>
      <c r="J12" s="475"/>
      <c r="K12" s="475"/>
      <c r="L12" s="477"/>
    </row>
    <row r="13" spans="1:12" s="478" customFormat="1" ht="21.95" customHeight="1">
      <c r="A13" s="164"/>
      <c r="B13" s="165"/>
      <c r="C13" s="99"/>
      <c r="D13" s="22"/>
      <c r="E13" s="475"/>
      <c r="F13" s="475"/>
      <c r="G13" s="475"/>
      <c r="H13" s="475"/>
      <c r="I13" s="475"/>
      <c r="J13" s="475"/>
      <c r="K13" s="475"/>
      <c r="L13" s="477"/>
    </row>
    <row r="14" spans="1:12" s="478" customFormat="1" ht="21.95" customHeight="1">
      <c r="A14" s="164"/>
      <c r="B14" s="165"/>
      <c r="C14" s="99"/>
      <c r="D14" s="22"/>
      <c r="E14" s="475"/>
      <c r="F14" s="475"/>
      <c r="G14" s="475"/>
      <c r="H14" s="475"/>
      <c r="I14" s="475"/>
      <c r="J14" s="475"/>
      <c r="K14" s="475"/>
      <c r="L14" s="477"/>
    </row>
    <row r="15" spans="1:12" s="478" customFormat="1" ht="21.95" customHeight="1">
      <c r="A15" s="164"/>
      <c r="B15" s="165"/>
      <c r="C15" s="99"/>
      <c r="D15" s="22"/>
      <c r="E15" s="475"/>
      <c r="F15" s="475"/>
      <c r="G15" s="475"/>
      <c r="H15" s="475"/>
      <c r="I15" s="475"/>
      <c r="J15" s="475"/>
      <c r="K15" s="475"/>
      <c r="L15" s="477"/>
    </row>
    <row r="16" spans="1:12" s="478" customFormat="1" ht="21.95" customHeight="1">
      <c r="A16" s="164"/>
      <c r="B16" s="165"/>
      <c r="C16" s="99"/>
      <c r="D16" s="22"/>
      <c r="E16" s="475"/>
      <c r="F16" s="475"/>
      <c r="G16" s="475"/>
      <c r="H16" s="475"/>
      <c r="I16" s="475"/>
      <c r="J16" s="475"/>
      <c r="K16" s="475"/>
      <c r="L16" s="477"/>
    </row>
    <row r="17" spans="1:12" s="478" customFormat="1" ht="21.95" customHeight="1">
      <c r="A17" s="164"/>
      <c r="B17" s="165"/>
      <c r="C17" s="99"/>
      <c r="D17" s="22"/>
      <c r="E17" s="475"/>
      <c r="F17" s="475"/>
      <c r="G17" s="475"/>
      <c r="H17" s="475"/>
      <c r="I17" s="475"/>
      <c r="J17" s="475"/>
      <c r="K17" s="475"/>
      <c r="L17" s="477"/>
    </row>
    <row r="18" spans="1:12" s="478" customFormat="1" ht="21.95" customHeight="1">
      <c r="A18" s="164"/>
      <c r="B18" s="165"/>
      <c r="C18" s="99"/>
      <c r="D18" s="22"/>
      <c r="E18" s="475"/>
      <c r="F18" s="475"/>
      <c r="G18" s="475"/>
      <c r="H18" s="475"/>
      <c r="I18" s="475"/>
      <c r="J18" s="475"/>
      <c r="K18" s="475"/>
      <c r="L18" s="477"/>
    </row>
    <row r="19" spans="1:12" s="478" customFormat="1" ht="21.95" customHeight="1">
      <c r="A19" s="164"/>
      <c r="B19" s="165"/>
      <c r="C19" s="99"/>
      <c r="D19" s="22"/>
      <c r="E19" s="475"/>
      <c r="F19" s="475"/>
      <c r="G19" s="475"/>
      <c r="H19" s="475"/>
      <c r="I19" s="475"/>
      <c r="J19" s="475"/>
      <c r="K19" s="475"/>
      <c r="L19" s="477"/>
    </row>
    <row r="20" spans="1:12" s="478" customFormat="1" ht="21.95" customHeight="1">
      <c r="A20" s="164"/>
      <c r="B20" s="165"/>
      <c r="C20" s="99"/>
      <c r="D20" s="22"/>
      <c r="E20" s="475"/>
      <c r="F20" s="475"/>
      <c r="G20" s="475"/>
      <c r="H20" s="475"/>
      <c r="I20" s="475"/>
      <c r="J20" s="475"/>
      <c r="K20" s="475"/>
      <c r="L20" s="477"/>
    </row>
    <row r="21" spans="1:12" s="478" customFormat="1" ht="21.95" customHeight="1">
      <c r="A21" s="164"/>
      <c r="B21" s="165"/>
      <c r="C21" s="99"/>
      <c r="D21" s="22"/>
      <c r="E21" s="475"/>
      <c r="F21" s="475"/>
      <c r="G21" s="475"/>
      <c r="H21" s="475"/>
      <c r="I21" s="475"/>
      <c r="J21" s="475"/>
      <c r="K21" s="475"/>
      <c r="L21" s="477"/>
    </row>
    <row r="22" spans="1:12" s="478" customFormat="1" ht="21.95" customHeight="1">
      <c r="A22" s="164"/>
      <c r="B22" s="165"/>
      <c r="C22" s="99"/>
      <c r="D22" s="22"/>
      <c r="E22" s="475"/>
      <c r="F22" s="475"/>
      <c r="G22" s="475"/>
      <c r="H22" s="475"/>
      <c r="I22" s="475"/>
      <c r="J22" s="475"/>
      <c r="K22" s="475"/>
      <c r="L22" s="477"/>
    </row>
    <row r="23" spans="1:12" s="478" customFormat="1" ht="21.95" customHeight="1">
      <c r="A23" s="164"/>
      <c r="B23" s="165"/>
      <c r="C23" s="99"/>
      <c r="D23" s="22"/>
      <c r="E23" s="475"/>
      <c r="F23" s="475"/>
      <c r="G23" s="475"/>
      <c r="H23" s="475"/>
      <c r="I23" s="475"/>
      <c r="J23" s="475"/>
      <c r="K23" s="475"/>
      <c r="L23" s="477"/>
    </row>
    <row r="24" spans="1:12" s="478" customFormat="1" ht="21.95" customHeight="1">
      <c r="A24" s="164"/>
      <c r="B24" s="165"/>
      <c r="C24" s="99"/>
      <c r="D24" s="22"/>
      <c r="E24" s="475"/>
      <c r="F24" s="475"/>
      <c r="G24" s="475"/>
      <c r="H24" s="475"/>
      <c r="I24" s="475"/>
      <c r="J24" s="475"/>
      <c r="K24" s="475"/>
      <c r="L24" s="477"/>
    </row>
    <row r="25" spans="1:12" s="478" customFormat="1" ht="21.95" customHeight="1">
      <c r="A25" s="164"/>
      <c r="B25" s="165"/>
      <c r="C25" s="99"/>
      <c r="D25" s="22"/>
      <c r="E25" s="475"/>
      <c r="F25" s="475"/>
      <c r="G25" s="475"/>
      <c r="H25" s="475"/>
      <c r="I25" s="475"/>
      <c r="J25" s="475"/>
      <c r="K25" s="475"/>
      <c r="L25" s="477"/>
    </row>
    <row r="26" spans="1:12" s="478" customFormat="1" ht="21.95" customHeight="1">
      <c r="A26" s="164"/>
      <c r="B26" s="165"/>
      <c r="C26" s="99"/>
      <c r="D26" s="22"/>
      <c r="E26" s="475"/>
      <c r="F26" s="475"/>
      <c r="G26" s="475"/>
      <c r="H26" s="475"/>
      <c r="I26" s="475"/>
      <c r="J26" s="475"/>
      <c r="K26" s="475"/>
      <c r="L26" s="477"/>
    </row>
    <row r="27" spans="1:12" s="478" customFormat="1" ht="21.95" customHeight="1">
      <c r="A27" s="164" t="s">
        <v>1200</v>
      </c>
      <c r="B27" s="165"/>
      <c r="C27" s="99"/>
      <c r="D27" s="22"/>
      <c r="E27" s="475"/>
      <c r="F27" s="475"/>
      <c r="G27" s="475"/>
      <c r="H27" s="475"/>
      <c r="I27" s="475"/>
      <c r="J27" s="475"/>
      <c r="K27" s="475"/>
      <c r="L27" s="477"/>
    </row>
    <row r="28" spans="1:12" s="478" customFormat="1" ht="21.95" customHeight="1">
      <c r="A28" s="164" t="s">
        <v>1187</v>
      </c>
      <c r="B28" s="164" t="s">
        <v>1009</v>
      </c>
      <c r="C28" s="495" t="s">
        <v>419</v>
      </c>
      <c r="D28" s="22" t="e">
        <f>내역서!#REF!</f>
        <v>#REF!</v>
      </c>
      <c r="E28" s="475">
        <v>-150</v>
      </c>
      <c r="F28" s="475" t="e">
        <f t="shared" ref="F28:F34" si="0">INT(D28*E28)</f>
        <v>#REF!</v>
      </c>
      <c r="G28" s="475"/>
      <c r="H28" s="475"/>
      <c r="I28" s="475"/>
      <c r="J28" s="475"/>
      <c r="K28" s="475" t="e">
        <f t="shared" ref="K28:K34" si="1">SUM(F28+H28+J28)</f>
        <v>#REF!</v>
      </c>
      <c r="L28" s="477"/>
    </row>
    <row r="29" spans="1:12" s="478" customFormat="1" ht="21.95" customHeight="1">
      <c r="A29" s="164" t="s">
        <v>1188</v>
      </c>
      <c r="B29" s="164" t="s">
        <v>1189</v>
      </c>
      <c r="C29" s="495" t="s">
        <v>419</v>
      </c>
      <c r="D29" s="22" t="e">
        <f>내역서!#REF!</f>
        <v>#REF!</v>
      </c>
      <c r="E29" s="475">
        <v>-150</v>
      </c>
      <c r="F29" s="475" t="e">
        <f t="shared" si="0"/>
        <v>#REF!</v>
      </c>
      <c r="G29" s="475"/>
      <c r="H29" s="475"/>
      <c r="I29" s="475"/>
      <c r="J29" s="475"/>
      <c r="K29" s="475" t="e">
        <f t="shared" si="1"/>
        <v>#REF!</v>
      </c>
      <c r="L29" s="477"/>
    </row>
    <row r="30" spans="1:12" s="478" customFormat="1" ht="21.95" customHeight="1">
      <c r="A30" s="164" t="s">
        <v>1190</v>
      </c>
      <c r="B30" s="164" t="s">
        <v>1189</v>
      </c>
      <c r="C30" s="495" t="s">
        <v>419</v>
      </c>
      <c r="D30" s="22" t="e">
        <f>내역서!#REF!</f>
        <v>#REF!</v>
      </c>
      <c r="E30" s="475">
        <v>-150</v>
      </c>
      <c r="F30" s="475" t="e">
        <f t="shared" si="0"/>
        <v>#REF!</v>
      </c>
      <c r="G30" s="475"/>
      <c r="H30" s="475"/>
      <c r="I30" s="475"/>
      <c r="J30" s="475"/>
      <c r="K30" s="475" t="e">
        <f t="shared" si="1"/>
        <v>#REF!</v>
      </c>
      <c r="L30" s="477"/>
    </row>
    <row r="31" spans="1:12" s="478" customFormat="1" ht="21.95" customHeight="1">
      <c r="A31" s="164" t="s">
        <v>1191</v>
      </c>
      <c r="B31" s="164" t="s">
        <v>1189</v>
      </c>
      <c r="C31" s="495" t="s">
        <v>419</v>
      </c>
      <c r="D31" s="22" t="e">
        <f>내역서!#REF!</f>
        <v>#REF!</v>
      </c>
      <c r="E31" s="475">
        <v>-150</v>
      </c>
      <c r="F31" s="475" t="e">
        <f t="shared" si="0"/>
        <v>#REF!</v>
      </c>
      <c r="G31" s="475"/>
      <c r="H31" s="475"/>
      <c r="I31" s="475"/>
      <c r="J31" s="475"/>
      <c r="K31" s="475" t="e">
        <f t="shared" si="1"/>
        <v>#REF!</v>
      </c>
      <c r="L31" s="477"/>
    </row>
    <row r="32" spans="1:12" s="478" customFormat="1" ht="21.95" customHeight="1">
      <c r="A32" s="164" t="s">
        <v>1192</v>
      </c>
      <c r="B32" s="164" t="s">
        <v>1193</v>
      </c>
      <c r="C32" s="495" t="s">
        <v>419</v>
      </c>
      <c r="D32" s="22" t="e">
        <f>내역서!#REF!</f>
        <v>#REF!</v>
      </c>
      <c r="E32" s="475">
        <v>-100</v>
      </c>
      <c r="F32" s="475" t="e">
        <f t="shared" si="0"/>
        <v>#REF!</v>
      </c>
      <c r="G32" s="475"/>
      <c r="H32" s="475"/>
      <c r="I32" s="475"/>
      <c r="J32" s="475"/>
      <c r="K32" s="475" t="e">
        <f t="shared" si="1"/>
        <v>#REF!</v>
      </c>
      <c r="L32" s="477"/>
    </row>
    <row r="33" spans="1:12" s="478" customFormat="1" ht="21.95" customHeight="1">
      <c r="A33" s="164" t="s">
        <v>1194</v>
      </c>
      <c r="B33" s="164" t="s">
        <v>276</v>
      </c>
      <c r="C33" s="495" t="s">
        <v>419</v>
      </c>
      <c r="D33" s="22" t="e">
        <f>내역서!#REF!</f>
        <v>#REF!</v>
      </c>
      <c r="E33" s="475">
        <v>-200</v>
      </c>
      <c r="F33" s="475" t="e">
        <f t="shared" si="0"/>
        <v>#REF!</v>
      </c>
      <c r="G33" s="475"/>
      <c r="H33" s="475"/>
      <c r="I33" s="475"/>
      <c r="J33" s="475"/>
      <c r="K33" s="475" t="e">
        <f t="shared" si="1"/>
        <v>#REF!</v>
      </c>
      <c r="L33" s="477"/>
    </row>
    <row r="34" spans="1:12" s="478" customFormat="1" ht="21.95" customHeight="1">
      <c r="A34" s="164" t="s">
        <v>1178</v>
      </c>
      <c r="B34" s="164" t="s">
        <v>1179</v>
      </c>
      <c r="C34" s="495" t="s">
        <v>1195</v>
      </c>
      <c r="D34" s="22">
        <v>1</v>
      </c>
      <c r="E34" s="475">
        <v>-397500</v>
      </c>
      <c r="F34" s="475">
        <f t="shared" si="0"/>
        <v>-397500</v>
      </c>
      <c r="G34" s="475"/>
      <c r="H34" s="475"/>
      <c r="I34" s="475"/>
      <c r="J34" s="475"/>
      <c r="K34" s="475">
        <f t="shared" si="1"/>
        <v>-397500</v>
      </c>
      <c r="L34" s="477" t="s">
        <v>1180</v>
      </c>
    </row>
    <row r="35" spans="1:12" s="478" customFormat="1" ht="21.95" customHeight="1">
      <c r="A35" s="164"/>
      <c r="B35" s="164"/>
      <c r="C35" s="495"/>
      <c r="D35" s="22"/>
      <c r="E35" s="475"/>
      <c r="F35" s="475"/>
      <c r="G35" s="475"/>
      <c r="H35" s="475"/>
      <c r="I35" s="475"/>
      <c r="J35" s="475"/>
      <c r="K35" s="475"/>
      <c r="L35" s="477"/>
    </row>
    <row r="36" spans="1:12" s="478" customFormat="1" ht="21.95" customHeight="1">
      <c r="A36" s="164" t="s">
        <v>127</v>
      </c>
      <c r="B36" s="164"/>
      <c r="C36" s="495"/>
      <c r="D36" s="22"/>
      <c r="E36" s="475"/>
      <c r="F36" s="475"/>
      <c r="G36" s="475"/>
      <c r="H36" s="475"/>
      <c r="I36" s="475"/>
      <c r="J36" s="475"/>
      <c r="K36" s="475" t="e">
        <f>SUM(K28:K35)</f>
        <v>#REF!</v>
      </c>
      <c r="L36" s="477"/>
    </row>
    <row r="37" spans="1:12" s="478" customFormat="1" ht="21.95" customHeight="1">
      <c r="A37" s="164"/>
      <c r="B37" s="164"/>
      <c r="C37" s="495"/>
      <c r="D37" s="22"/>
      <c r="E37" s="475"/>
      <c r="F37" s="475"/>
      <c r="G37" s="475"/>
      <c r="H37" s="475"/>
      <c r="I37" s="475"/>
      <c r="J37" s="475"/>
      <c r="K37" s="475"/>
      <c r="L37" s="477"/>
    </row>
    <row r="38" spans="1:12" s="478" customFormat="1" ht="21.95" customHeight="1">
      <c r="A38" s="164" t="s">
        <v>1199</v>
      </c>
      <c r="B38" s="165"/>
      <c r="C38" s="99"/>
      <c r="D38" s="22"/>
      <c r="E38" s="475"/>
      <c r="F38" s="475"/>
      <c r="G38" s="475"/>
      <c r="H38" s="475"/>
      <c r="I38" s="475"/>
      <c r="J38" s="475"/>
      <c r="K38" s="475"/>
      <c r="L38" s="477"/>
    </row>
    <row r="39" spans="1:12" s="478" customFormat="1" ht="21.95" customHeight="1">
      <c r="A39" s="164" t="s">
        <v>1196</v>
      </c>
      <c r="B39" s="164" t="s">
        <v>1189</v>
      </c>
      <c r="C39" s="495" t="s">
        <v>419</v>
      </c>
      <c r="D39" s="22" t="e">
        <f>#REF!</f>
        <v>#REF!</v>
      </c>
      <c r="E39" s="475">
        <v>-150</v>
      </c>
      <c r="F39" s="475" t="e">
        <f>INT(D39*E39)</f>
        <v>#REF!</v>
      </c>
      <c r="G39" s="475"/>
      <c r="H39" s="475"/>
      <c r="I39" s="475"/>
      <c r="J39" s="475"/>
      <c r="K39" s="475" t="e">
        <f>SUM(F39+H39+J39)</f>
        <v>#REF!</v>
      </c>
      <c r="L39" s="477"/>
    </row>
    <row r="40" spans="1:12" s="478" customFormat="1" ht="21.95" customHeight="1">
      <c r="A40" s="164" t="s">
        <v>1190</v>
      </c>
      <c r="B40" s="164" t="s">
        <v>1189</v>
      </c>
      <c r="C40" s="495" t="s">
        <v>419</v>
      </c>
      <c r="D40" s="22" t="e">
        <f>#REF!</f>
        <v>#REF!</v>
      </c>
      <c r="E40" s="475">
        <v>-150</v>
      </c>
      <c r="F40" s="475" t="e">
        <f>INT(D40*E40)</f>
        <v>#REF!</v>
      </c>
      <c r="G40" s="475"/>
      <c r="H40" s="475"/>
      <c r="I40" s="475"/>
      <c r="J40" s="475"/>
      <c r="K40" s="475" t="e">
        <f>SUM(F40+H40+J40)</f>
        <v>#REF!</v>
      </c>
      <c r="L40" s="477"/>
    </row>
    <row r="41" spans="1:12" s="478" customFormat="1" ht="21.95" customHeight="1">
      <c r="A41" s="164" t="s">
        <v>1190</v>
      </c>
      <c r="B41" s="164" t="s">
        <v>1197</v>
      </c>
      <c r="C41" s="495" t="s">
        <v>419</v>
      </c>
      <c r="D41" s="22" t="e">
        <f>#REF!</f>
        <v>#REF!</v>
      </c>
      <c r="E41" s="475">
        <v>-100</v>
      </c>
      <c r="F41" s="475" t="e">
        <f>INT(D41*E41)</f>
        <v>#REF!</v>
      </c>
      <c r="G41" s="475"/>
      <c r="H41" s="475"/>
      <c r="I41" s="475"/>
      <c r="J41" s="475"/>
      <c r="K41" s="475" t="e">
        <f>SUM(F41+H41+J41)</f>
        <v>#REF!</v>
      </c>
      <c r="L41" s="477"/>
    </row>
    <row r="42" spans="1:12" s="478" customFormat="1" ht="21.95" customHeight="1">
      <c r="A42" s="164" t="s">
        <v>1198</v>
      </c>
      <c r="B42" s="164" t="s">
        <v>107</v>
      </c>
      <c r="C42" s="495" t="s">
        <v>1172</v>
      </c>
      <c r="D42" s="22" t="e">
        <f>#REF!</f>
        <v>#REF!</v>
      </c>
      <c r="E42" s="475">
        <v>-340</v>
      </c>
      <c r="F42" s="475" t="e">
        <f>INT(D42*E42)</f>
        <v>#REF!</v>
      </c>
      <c r="G42" s="475"/>
      <c r="H42" s="475"/>
      <c r="I42" s="475"/>
      <c r="J42" s="475"/>
      <c r="K42" s="475" t="e">
        <f>SUM(F42+H42+J42)</f>
        <v>#REF!</v>
      </c>
      <c r="L42" s="477"/>
    </row>
    <row r="43" spans="1:12" s="478" customFormat="1" ht="21.95" customHeight="1">
      <c r="A43" s="164"/>
      <c r="B43" s="164"/>
      <c r="C43" s="495"/>
      <c r="D43" s="22"/>
      <c r="E43" s="475"/>
      <c r="F43" s="475"/>
      <c r="G43" s="475"/>
      <c r="H43" s="475"/>
      <c r="I43" s="475"/>
      <c r="J43" s="475"/>
      <c r="K43" s="475"/>
      <c r="L43" s="477"/>
    </row>
    <row r="44" spans="1:12" s="478" customFormat="1" ht="21.95" customHeight="1">
      <c r="A44" s="164" t="s">
        <v>127</v>
      </c>
      <c r="B44" s="164"/>
      <c r="C44" s="495"/>
      <c r="D44" s="22"/>
      <c r="E44" s="475"/>
      <c r="F44" s="475"/>
      <c r="G44" s="475"/>
      <c r="H44" s="475"/>
      <c r="I44" s="475"/>
      <c r="J44" s="475"/>
      <c r="K44" s="475" t="e">
        <f>SUM(K39:K43)</f>
        <v>#REF!</v>
      </c>
      <c r="L44" s="477"/>
    </row>
    <row r="45" spans="1:12" s="478" customFormat="1" ht="21.95" customHeight="1">
      <c r="A45" s="164"/>
      <c r="B45" s="164"/>
      <c r="C45" s="495"/>
      <c r="D45" s="22"/>
      <c r="E45" s="475"/>
      <c r="F45" s="475"/>
      <c r="G45" s="475"/>
      <c r="H45" s="475"/>
      <c r="I45" s="475"/>
      <c r="J45" s="475"/>
      <c r="K45" s="475"/>
      <c r="L45" s="477"/>
    </row>
    <row r="46" spans="1:12" s="478" customFormat="1" ht="21.95" customHeight="1">
      <c r="A46" s="164"/>
      <c r="B46" s="164"/>
      <c r="C46" s="495"/>
      <c r="D46" s="22"/>
      <c r="E46" s="475"/>
      <c r="F46" s="475"/>
      <c r="G46" s="475"/>
      <c r="H46" s="475"/>
      <c r="I46" s="475"/>
      <c r="J46" s="475"/>
      <c r="K46" s="475"/>
      <c r="L46" s="477"/>
    </row>
    <row r="47" spans="1:12" s="478" customFormat="1" ht="21.95" customHeight="1">
      <c r="A47" s="164"/>
      <c r="B47" s="164"/>
      <c r="C47" s="495"/>
      <c r="D47" s="22"/>
      <c r="E47" s="475"/>
      <c r="F47" s="475"/>
      <c r="G47" s="475"/>
      <c r="H47" s="475"/>
      <c r="I47" s="475"/>
      <c r="J47" s="475"/>
      <c r="K47" s="475"/>
      <c r="L47" s="477"/>
    </row>
    <row r="48" spans="1:12" s="478" customFormat="1" ht="21.95" customHeight="1">
      <c r="A48" s="290"/>
      <c r="B48" s="290"/>
      <c r="C48" s="99"/>
      <c r="D48" s="22"/>
      <c r="E48" s="475"/>
      <c r="F48" s="475"/>
      <c r="G48" s="475"/>
      <c r="H48" s="475"/>
      <c r="I48" s="475"/>
      <c r="J48" s="475"/>
      <c r="K48" s="475"/>
      <c r="L48" s="477"/>
    </row>
    <row r="49" spans="1:12" s="478" customFormat="1" ht="21.95" customHeight="1">
      <c r="A49" s="290"/>
      <c r="B49" s="290"/>
      <c r="C49" s="99"/>
      <c r="D49" s="22"/>
      <c r="E49" s="475"/>
      <c r="F49" s="475"/>
      <c r="G49" s="475"/>
      <c r="H49" s="475"/>
      <c r="I49" s="475"/>
      <c r="J49" s="475"/>
      <c r="K49" s="475"/>
      <c r="L49" s="477"/>
    </row>
    <row r="50" spans="1:12" s="478" customFormat="1" ht="21.95" customHeight="1">
      <c r="A50" s="394"/>
      <c r="B50" s="394"/>
      <c r="C50" s="99"/>
      <c r="D50" s="22"/>
      <c r="E50" s="475"/>
      <c r="F50" s="475"/>
      <c r="G50" s="475"/>
      <c r="H50" s="475"/>
      <c r="I50" s="475"/>
      <c r="J50" s="475"/>
      <c r="K50" s="475"/>
      <c r="L50" s="477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&amp;C&amp;"굴림체,굵게"&amp;14작  업  부  산  물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3">
    <tabColor indexed="57"/>
  </sheetPr>
  <dimension ref="B1:M71"/>
  <sheetViews>
    <sheetView showZeros="0" view="pageBreakPreview" topLeftCell="B43" zoomScaleSheetLayoutView="90" workbookViewId="0">
      <selection activeCell="E21" sqref="E21"/>
    </sheetView>
  </sheetViews>
  <sheetFormatPr defaultRowHeight="21" customHeight="1"/>
  <cols>
    <col min="1" max="1" width="0" style="162" hidden="1" customWidth="1"/>
    <col min="2" max="3" width="16.77734375" style="161" customWidth="1"/>
    <col min="4" max="4" width="5" style="120" customWidth="1"/>
    <col min="5" max="5" width="6.77734375" style="292" customWidth="1"/>
    <col min="6" max="6" width="9.77734375" style="163" customWidth="1"/>
    <col min="7" max="7" width="10.77734375" style="163" customWidth="1"/>
    <col min="8" max="8" width="9.77734375" style="163" customWidth="1"/>
    <col min="9" max="9" width="10.77734375" style="163" customWidth="1"/>
    <col min="10" max="10" width="7.77734375" style="163" customWidth="1"/>
    <col min="11" max="11" width="9.77734375" style="163" customWidth="1"/>
    <col min="12" max="12" width="10.77734375" style="163" customWidth="1"/>
    <col min="13" max="13" width="8.5546875" style="120" customWidth="1"/>
    <col min="14" max="14" width="8" style="162" bestFit="1" customWidth="1"/>
    <col min="15" max="15" width="5.44140625" style="162" customWidth="1"/>
    <col min="16" max="16384" width="8.88671875" style="162"/>
  </cols>
  <sheetData>
    <row r="1" spans="2:13" s="157" customFormat="1" ht="21.95" customHeight="1">
      <c r="B1" s="609" t="s">
        <v>747</v>
      </c>
      <c r="C1" s="609" t="s">
        <v>748</v>
      </c>
      <c r="D1" s="619" t="s">
        <v>749</v>
      </c>
      <c r="E1" s="605" t="s">
        <v>750</v>
      </c>
      <c r="F1" s="605" t="s">
        <v>751</v>
      </c>
      <c r="G1" s="605"/>
      <c r="H1" s="605" t="s">
        <v>752</v>
      </c>
      <c r="I1" s="605"/>
      <c r="J1" s="605" t="s">
        <v>753</v>
      </c>
      <c r="K1" s="605"/>
      <c r="L1" s="605" t="s">
        <v>754</v>
      </c>
      <c r="M1" s="604" t="s">
        <v>755</v>
      </c>
    </row>
    <row r="2" spans="2:13" s="157" customFormat="1" ht="21.95" customHeight="1">
      <c r="B2" s="609"/>
      <c r="C2" s="609"/>
      <c r="D2" s="620"/>
      <c r="E2" s="605"/>
      <c r="F2" s="97" t="s">
        <v>756</v>
      </c>
      <c r="G2" s="97" t="s">
        <v>757</v>
      </c>
      <c r="H2" s="97" t="s">
        <v>756</v>
      </c>
      <c r="I2" s="97" t="s">
        <v>757</v>
      </c>
      <c r="J2" s="97" t="s">
        <v>756</v>
      </c>
      <c r="K2" s="97" t="s">
        <v>757</v>
      </c>
      <c r="L2" s="605"/>
      <c r="M2" s="604"/>
    </row>
    <row r="3" spans="2:13" s="157" customFormat="1" ht="21.95" customHeight="1">
      <c r="B3" s="296" t="s">
        <v>1048</v>
      </c>
      <c r="C3" s="518"/>
      <c r="D3" s="293"/>
      <c r="E3" s="295"/>
      <c r="F3" s="97"/>
      <c r="G3" s="97"/>
      <c r="H3" s="97"/>
      <c r="I3" s="97"/>
      <c r="J3" s="97"/>
      <c r="K3" s="97"/>
      <c r="L3" s="97"/>
      <c r="M3" s="294"/>
    </row>
    <row r="4" spans="2:13" s="157" customFormat="1" ht="21.95" customHeight="1">
      <c r="B4" s="296" t="str">
        <f>B26</f>
        <v>1. 분전반 제작 구입</v>
      </c>
      <c r="C4" s="380"/>
      <c r="D4" s="519" t="s">
        <v>745</v>
      </c>
      <c r="E4" s="475">
        <v>1</v>
      </c>
      <c r="F4" s="97"/>
      <c r="G4" s="475">
        <f>L41</f>
        <v>41030000</v>
      </c>
      <c r="H4" s="97"/>
      <c r="I4" s="97"/>
      <c r="J4" s="97"/>
      <c r="K4" s="97"/>
      <c r="L4" s="475">
        <f>SUM(G4+I4+K4)</f>
        <v>41030000</v>
      </c>
      <c r="M4" s="294"/>
    </row>
    <row r="5" spans="2:13" s="157" customFormat="1" ht="21.95" customHeight="1">
      <c r="B5" s="296" t="str">
        <f>B49</f>
        <v>2. 조명기구 구입</v>
      </c>
      <c r="C5" s="380"/>
      <c r="D5" s="519" t="s">
        <v>745</v>
      </c>
      <c r="E5" s="475">
        <v>1</v>
      </c>
      <c r="F5" s="97"/>
      <c r="G5" s="475" t="e">
        <f>L62</f>
        <v>#REF!</v>
      </c>
      <c r="H5" s="97"/>
      <c r="I5" s="97"/>
      <c r="J5" s="97"/>
      <c r="K5" s="97"/>
      <c r="L5" s="475" t="e">
        <f>G5</f>
        <v>#REF!</v>
      </c>
      <c r="M5" s="294"/>
    </row>
    <row r="6" spans="2:13" s="157" customFormat="1" ht="21.95" customHeight="1">
      <c r="B6" s="296"/>
      <c r="C6" s="380"/>
      <c r="D6" s="293"/>
      <c r="E6" s="475"/>
      <c r="F6" s="97"/>
      <c r="G6" s="475"/>
      <c r="H6" s="97"/>
      <c r="I6" s="97"/>
      <c r="J6" s="97"/>
      <c r="K6" s="97"/>
      <c r="L6" s="97"/>
      <c r="M6" s="294"/>
    </row>
    <row r="7" spans="2:13" s="157" customFormat="1" ht="21.95" customHeight="1">
      <c r="B7" s="296" t="s">
        <v>758</v>
      </c>
      <c r="C7" s="380"/>
      <c r="D7" s="293"/>
      <c r="E7" s="475"/>
      <c r="F7" s="97"/>
      <c r="G7" s="475" t="e">
        <f>SUM(G4:G6)</f>
        <v>#REF!</v>
      </c>
      <c r="H7" s="97"/>
      <c r="I7" s="97"/>
      <c r="J7" s="97"/>
      <c r="K7" s="97"/>
      <c r="L7" s="475" t="e">
        <f>SUM(G7+I7+K7)</f>
        <v>#REF!</v>
      </c>
      <c r="M7" s="294"/>
    </row>
    <row r="8" spans="2:13" s="157" customFormat="1" ht="21.95" customHeight="1">
      <c r="B8" s="296"/>
      <c r="C8" s="380"/>
      <c r="D8" s="293"/>
      <c r="E8" s="295"/>
      <c r="F8" s="97"/>
      <c r="G8" s="97"/>
      <c r="H8" s="97"/>
      <c r="I8" s="97"/>
      <c r="J8" s="97"/>
      <c r="K8" s="97"/>
      <c r="L8" s="97"/>
      <c r="M8" s="294"/>
    </row>
    <row r="9" spans="2:13" s="157" customFormat="1" ht="21.95" customHeight="1">
      <c r="B9" s="296"/>
      <c r="C9" s="380"/>
      <c r="D9" s="293"/>
      <c r="E9" s="295"/>
      <c r="F9" s="97"/>
      <c r="G9" s="97"/>
      <c r="H9" s="97"/>
      <c r="I9" s="97"/>
      <c r="J9" s="97"/>
      <c r="K9" s="97"/>
      <c r="L9" s="97"/>
      <c r="M9" s="294"/>
    </row>
    <row r="10" spans="2:13" s="157" customFormat="1" ht="21.95" customHeight="1">
      <c r="B10" s="296"/>
      <c r="C10" s="380"/>
      <c r="D10" s="293"/>
      <c r="E10" s="295"/>
      <c r="F10" s="97"/>
      <c r="G10" s="97"/>
      <c r="H10" s="97"/>
      <c r="I10" s="97"/>
      <c r="J10" s="97"/>
      <c r="K10" s="97"/>
      <c r="L10" s="97"/>
      <c r="M10" s="294"/>
    </row>
    <row r="11" spans="2:13" s="157" customFormat="1" ht="21.95" customHeight="1">
      <c r="B11" s="296"/>
      <c r="C11" s="380"/>
      <c r="D11" s="293"/>
      <c r="E11" s="295"/>
      <c r="F11" s="97"/>
      <c r="G11" s="97"/>
      <c r="H11" s="97"/>
      <c r="I11" s="97"/>
      <c r="J11" s="97"/>
      <c r="K11" s="97"/>
      <c r="L11" s="97"/>
      <c r="M11" s="294"/>
    </row>
    <row r="12" spans="2:13" s="157" customFormat="1" ht="21.95" customHeight="1">
      <c r="B12" s="296"/>
      <c r="C12" s="380"/>
      <c r="D12" s="293"/>
      <c r="E12" s="295"/>
      <c r="F12" s="97"/>
      <c r="G12" s="97"/>
      <c r="H12" s="97"/>
      <c r="I12" s="97"/>
      <c r="J12" s="97"/>
      <c r="K12" s="97"/>
      <c r="L12" s="97"/>
      <c r="M12" s="294"/>
    </row>
    <row r="13" spans="2:13" s="157" customFormat="1" ht="21.95" customHeight="1">
      <c r="B13" s="296"/>
      <c r="C13" s="380"/>
      <c r="D13" s="293"/>
      <c r="E13" s="295"/>
      <c r="F13" s="97"/>
      <c r="G13" s="97"/>
      <c r="H13" s="97"/>
      <c r="I13" s="97"/>
      <c r="J13" s="97"/>
      <c r="K13" s="97"/>
      <c r="L13" s="97"/>
      <c r="M13" s="294"/>
    </row>
    <row r="14" spans="2:13" s="157" customFormat="1" ht="21.95" customHeight="1">
      <c r="B14" s="296"/>
      <c r="C14" s="380"/>
      <c r="D14" s="293"/>
      <c r="E14" s="295"/>
      <c r="F14" s="97"/>
      <c r="G14" s="97"/>
      <c r="H14" s="97"/>
      <c r="I14" s="97"/>
      <c r="J14" s="97"/>
      <c r="K14" s="97"/>
      <c r="L14" s="97"/>
      <c r="M14" s="294"/>
    </row>
    <row r="15" spans="2:13" s="157" customFormat="1" ht="21.95" customHeight="1">
      <c r="B15" s="296"/>
      <c r="C15" s="380"/>
      <c r="D15" s="293"/>
      <c r="E15" s="295"/>
      <c r="F15" s="97"/>
      <c r="G15" s="97"/>
      <c r="H15" s="97"/>
      <c r="I15" s="97"/>
      <c r="J15" s="97"/>
      <c r="K15" s="97"/>
      <c r="L15" s="97"/>
      <c r="M15" s="294"/>
    </row>
    <row r="16" spans="2:13" s="157" customFormat="1" ht="21.95" customHeight="1">
      <c r="B16" s="296"/>
      <c r="C16" s="380"/>
      <c r="D16" s="293"/>
      <c r="E16" s="295"/>
      <c r="F16" s="97"/>
      <c r="G16" s="97"/>
      <c r="H16" s="97"/>
      <c r="I16" s="97"/>
      <c r="J16" s="97"/>
      <c r="K16" s="97"/>
      <c r="L16" s="97"/>
      <c r="M16" s="294"/>
    </row>
    <row r="17" spans="2:13" s="157" customFormat="1" ht="21.95" customHeight="1">
      <c r="B17" s="296"/>
      <c r="C17" s="380"/>
      <c r="D17" s="293"/>
      <c r="E17" s="295"/>
      <c r="F17" s="97"/>
      <c r="G17" s="97"/>
      <c r="H17" s="97"/>
      <c r="I17" s="97"/>
      <c r="J17" s="97"/>
      <c r="K17" s="97"/>
      <c r="L17" s="97"/>
      <c r="M17" s="294"/>
    </row>
    <row r="18" spans="2:13" s="157" customFormat="1" ht="21.95" customHeight="1">
      <c r="B18" s="296"/>
      <c r="C18" s="380"/>
      <c r="D18" s="293"/>
      <c r="E18" s="295"/>
      <c r="F18" s="97"/>
      <c r="G18" s="97"/>
      <c r="H18" s="97"/>
      <c r="I18" s="97"/>
      <c r="J18" s="97"/>
      <c r="K18" s="97"/>
      <c r="L18" s="97"/>
      <c r="M18" s="294"/>
    </row>
    <row r="19" spans="2:13" s="157" customFormat="1" ht="21.95" customHeight="1">
      <c r="B19" s="296"/>
      <c r="C19" s="380"/>
      <c r="D19" s="293"/>
      <c r="E19" s="295"/>
      <c r="F19" s="97"/>
      <c r="G19" s="97"/>
      <c r="H19" s="97"/>
      <c r="I19" s="97"/>
      <c r="J19" s="97"/>
      <c r="K19" s="97"/>
      <c r="L19" s="97"/>
      <c r="M19" s="294"/>
    </row>
    <row r="20" spans="2:13" s="157" customFormat="1" ht="21.95" customHeight="1">
      <c r="B20" s="296"/>
      <c r="C20" s="380"/>
      <c r="D20" s="293"/>
      <c r="E20" s="295"/>
      <c r="F20" s="97"/>
      <c r="G20" s="97"/>
      <c r="H20" s="97"/>
      <c r="I20" s="97"/>
      <c r="J20" s="97"/>
      <c r="K20" s="97"/>
      <c r="L20" s="97"/>
      <c r="M20" s="294"/>
    </row>
    <row r="21" spans="2:13" s="157" customFormat="1" ht="21.95" customHeight="1">
      <c r="B21" s="296"/>
      <c r="C21" s="380"/>
      <c r="D21" s="293"/>
      <c r="E21" s="295"/>
      <c r="F21" s="97"/>
      <c r="G21" s="97"/>
      <c r="H21" s="97"/>
      <c r="I21" s="97"/>
      <c r="J21" s="97"/>
      <c r="K21" s="97"/>
      <c r="L21" s="97"/>
      <c r="M21" s="294"/>
    </row>
    <row r="22" spans="2:13" s="157" customFormat="1" ht="21.95" customHeight="1">
      <c r="B22" s="296"/>
      <c r="C22" s="380"/>
      <c r="D22" s="293"/>
      <c r="E22" s="295"/>
      <c r="F22" s="97"/>
      <c r="G22" s="97"/>
      <c r="H22" s="97"/>
      <c r="I22" s="97"/>
      <c r="J22" s="97"/>
      <c r="K22" s="97"/>
      <c r="L22" s="97"/>
      <c r="M22" s="294"/>
    </row>
    <row r="23" spans="2:13" s="157" customFormat="1" ht="21.95" customHeight="1">
      <c r="B23" s="296"/>
      <c r="C23" s="380"/>
      <c r="D23" s="293"/>
      <c r="E23" s="295"/>
      <c r="F23" s="97"/>
      <c r="G23" s="97"/>
      <c r="H23" s="97"/>
      <c r="I23" s="97"/>
      <c r="J23" s="97"/>
      <c r="K23" s="97"/>
      <c r="L23" s="97"/>
      <c r="M23" s="294"/>
    </row>
    <row r="24" spans="2:13" s="157" customFormat="1" ht="21.95" customHeight="1">
      <c r="B24" s="296"/>
      <c r="C24" s="380"/>
      <c r="D24" s="293"/>
      <c r="E24" s="295"/>
      <c r="F24" s="97"/>
      <c r="G24" s="97"/>
      <c r="H24" s="97"/>
      <c r="I24" s="97"/>
      <c r="J24" s="97"/>
      <c r="K24" s="97"/>
      <c r="L24" s="97"/>
      <c r="M24" s="294"/>
    </row>
    <row r="25" spans="2:13" s="157" customFormat="1" ht="21.95" customHeight="1">
      <c r="B25" s="296"/>
      <c r="C25" s="380"/>
      <c r="D25" s="293"/>
      <c r="E25" s="295"/>
      <c r="F25" s="97"/>
      <c r="G25" s="97"/>
      <c r="H25" s="97"/>
      <c r="I25" s="97"/>
      <c r="J25" s="97"/>
      <c r="K25" s="97"/>
      <c r="L25" s="97"/>
      <c r="M25" s="294"/>
    </row>
    <row r="26" spans="2:13" s="178" customFormat="1" ht="21.95" customHeight="1">
      <c r="B26" s="164" t="s">
        <v>1362</v>
      </c>
      <c r="C26" s="165"/>
      <c r="D26" s="99"/>
      <c r="E26" s="18"/>
      <c r="F26" s="18"/>
      <c r="G26" s="18"/>
      <c r="H26" s="18"/>
      <c r="I26" s="18"/>
      <c r="J26" s="18"/>
      <c r="K26" s="18"/>
      <c r="L26" s="18"/>
      <c r="M26" s="99"/>
    </row>
    <row r="27" spans="2:13" s="178" customFormat="1" ht="21.95" customHeight="1">
      <c r="B27" s="110" t="e">
        <f>'2.간선'!#REF!</f>
        <v>#REF!</v>
      </c>
      <c r="C27" s="231" t="e">
        <f>'2.간선'!#REF!</f>
        <v>#REF!</v>
      </c>
      <c r="D27" s="99" t="s">
        <v>140</v>
      </c>
      <c r="E27" s="491">
        <v>1</v>
      </c>
      <c r="F27" s="18">
        <v>5645494</v>
      </c>
      <c r="G27" s="18">
        <f t="shared" ref="G27:G28" si="0">F27*E27</f>
        <v>5645494</v>
      </c>
      <c r="H27" s="18"/>
      <c r="I27" s="18"/>
      <c r="J27" s="18"/>
      <c r="K27" s="18"/>
      <c r="L27" s="18">
        <f>SUM(G27,I27,K27)</f>
        <v>5645494</v>
      </c>
      <c r="M27" s="99">
        <v>24830384</v>
      </c>
    </row>
    <row r="28" spans="2:13" s="178" customFormat="1" ht="21.95" customHeight="1">
      <c r="B28" s="110" t="e">
        <f>'2.간선'!#REF!</f>
        <v>#REF!</v>
      </c>
      <c r="C28" s="231" t="e">
        <f>'2.간선'!#REF!</f>
        <v>#REF!</v>
      </c>
      <c r="D28" s="99" t="s">
        <v>140</v>
      </c>
      <c r="E28" s="491">
        <v>1</v>
      </c>
      <c r="F28" s="18">
        <v>1408542</v>
      </c>
      <c r="G28" s="18">
        <f t="shared" si="0"/>
        <v>1408542</v>
      </c>
      <c r="H28" s="18"/>
      <c r="I28" s="18"/>
      <c r="J28" s="18"/>
      <c r="K28" s="18"/>
      <c r="L28" s="18">
        <f>SUM(G28,I28,K28)</f>
        <v>1408542</v>
      </c>
      <c r="M28" s="99">
        <v>24830384</v>
      </c>
    </row>
    <row r="29" spans="2:13" s="178" customFormat="1" ht="21.95" customHeight="1">
      <c r="B29" s="110" t="e">
        <f>'2.간선'!#REF!</f>
        <v>#REF!</v>
      </c>
      <c r="C29" s="231" t="e">
        <f>'2.간선'!#REF!</f>
        <v>#REF!</v>
      </c>
      <c r="D29" s="99" t="s">
        <v>140</v>
      </c>
      <c r="E29" s="491">
        <v>1</v>
      </c>
      <c r="F29" s="18">
        <v>7712247</v>
      </c>
      <c r="G29" s="18">
        <f t="shared" ref="G29:G34" si="1">F29*E29</f>
        <v>7712247</v>
      </c>
      <c r="H29" s="18"/>
      <c r="I29" s="18"/>
      <c r="J29" s="18"/>
      <c r="K29" s="18"/>
      <c r="L29" s="18">
        <f>SUM(G29,I29,K29)</f>
        <v>7712247</v>
      </c>
      <c r="M29" s="99">
        <v>24830384</v>
      </c>
    </row>
    <row r="30" spans="2:13" s="178" customFormat="1" ht="21.95" customHeight="1">
      <c r="B30" s="110" t="e">
        <f>'2.간선'!#REF!</f>
        <v>#REF!</v>
      </c>
      <c r="C30" s="231" t="e">
        <f>'2.간선'!#REF!</f>
        <v>#REF!</v>
      </c>
      <c r="D30" s="99" t="s">
        <v>140</v>
      </c>
      <c r="E30" s="491">
        <v>1</v>
      </c>
      <c r="F30" s="18">
        <v>2885591</v>
      </c>
      <c r="G30" s="18">
        <f t="shared" si="1"/>
        <v>2885591</v>
      </c>
      <c r="H30" s="18"/>
      <c r="I30" s="18"/>
      <c r="J30" s="18"/>
      <c r="K30" s="18"/>
      <c r="L30" s="18">
        <f t="shared" ref="L30:L34" si="2">SUM(G30,I30,K30)</f>
        <v>2885591</v>
      </c>
      <c r="M30" s="99">
        <v>24830384</v>
      </c>
    </row>
    <row r="31" spans="2:13" s="178" customFormat="1" ht="21.95" customHeight="1">
      <c r="B31" s="110" t="e">
        <f>'2.간선'!#REF!</f>
        <v>#REF!</v>
      </c>
      <c r="C31" s="231" t="e">
        <f>'2.간선'!#REF!</f>
        <v>#REF!</v>
      </c>
      <c r="D31" s="99" t="s">
        <v>140</v>
      </c>
      <c r="E31" s="491">
        <v>1</v>
      </c>
      <c r="F31" s="18">
        <v>2849638</v>
      </c>
      <c r="G31" s="18">
        <f t="shared" si="1"/>
        <v>2849638</v>
      </c>
      <c r="H31" s="18"/>
      <c r="I31" s="18"/>
      <c r="J31" s="18"/>
      <c r="K31" s="18"/>
      <c r="L31" s="18">
        <f t="shared" si="2"/>
        <v>2849638</v>
      </c>
      <c r="M31" s="99">
        <v>24830384</v>
      </c>
    </row>
    <row r="32" spans="2:13" s="178" customFormat="1" ht="21.95" customHeight="1">
      <c r="B32" s="110" t="e">
        <f>'2.간선'!#REF!</f>
        <v>#REF!</v>
      </c>
      <c r="C32" s="231" t="e">
        <f>'2.간선'!#REF!</f>
        <v>#REF!</v>
      </c>
      <c r="D32" s="99" t="s">
        <v>140</v>
      </c>
      <c r="E32" s="491">
        <v>1</v>
      </c>
      <c r="F32" s="18">
        <v>3145011</v>
      </c>
      <c r="G32" s="18">
        <f t="shared" ref="G32" si="3">F32*E32</f>
        <v>3145011</v>
      </c>
      <c r="H32" s="18"/>
      <c r="I32" s="18"/>
      <c r="J32" s="18"/>
      <c r="K32" s="18"/>
      <c r="L32" s="18">
        <f t="shared" ref="L32" si="4">SUM(G32,I32,K32)</f>
        <v>3145011</v>
      </c>
      <c r="M32" s="99">
        <v>24830384</v>
      </c>
    </row>
    <row r="33" spans="2:13" s="178" customFormat="1" ht="21.95" customHeight="1">
      <c r="B33" s="110" t="e">
        <f>'2.간선'!#REF!</f>
        <v>#REF!</v>
      </c>
      <c r="C33" s="231" t="e">
        <f>'2.간선'!#REF!</f>
        <v>#REF!</v>
      </c>
      <c r="D33" s="99" t="s">
        <v>140</v>
      </c>
      <c r="E33" s="491">
        <v>1</v>
      </c>
      <c r="F33" s="18">
        <v>3548749</v>
      </c>
      <c r="G33" s="18">
        <f t="shared" si="1"/>
        <v>3548749</v>
      </c>
      <c r="H33" s="18"/>
      <c r="I33" s="18"/>
      <c r="J33" s="18"/>
      <c r="K33" s="18"/>
      <c r="L33" s="18">
        <f t="shared" si="2"/>
        <v>3548749</v>
      </c>
      <c r="M33" s="99">
        <v>24830384</v>
      </c>
    </row>
    <row r="34" spans="2:13" s="178" customFormat="1" ht="21.95" customHeight="1">
      <c r="B34" s="110" t="e">
        <f>'2.간선'!#REF!</f>
        <v>#REF!</v>
      </c>
      <c r="C34" s="231" t="e">
        <f>'2.간선'!#REF!</f>
        <v>#REF!</v>
      </c>
      <c r="D34" s="99" t="s">
        <v>140</v>
      </c>
      <c r="E34" s="491">
        <v>1</v>
      </c>
      <c r="F34" s="18">
        <v>6818388</v>
      </c>
      <c r="G34" s="18">
        <f t="shared" si="1"/>
        <v>6818388</v>
      </c>
      <c r="H34" s="18"/>
      <c r="I34" s="18"/>
      <c r="J34" s="18"/>
      <c r="K34" s="18"/>
      <c r="L34" s="18">
        <f t="shared" si="2"/>
        <v>6818388</v>
      </c>
      <c r="M34" s="99">
        <v>24830384</v>
      </c>
    </row>
    <row r="35" spans="2:13" s="178" customFormat="1" ht="21.95" customHeight="1">
      <c r="B35" s="110" t="e">
        <f>'2.간선'!#REF!</f>
        <v>#REF!</v>
      </c>
      <c r="C35" s="231" t="e">
        <f>'2.간선'!#REF!</f>
        <v>#REF!</v>
      </c>
      <c r="D35" s="99" t="s">
        <v>140</v>
      </c>
      <c r="E35" s="491">
        <v>1</v>
      </c>
      <c r="F35" s="18">
        <v>5492573</v>
      </c>
      <c r="G35" s="18">
        <f t="shared" ref="G35" si="5">F35*E35</f>
        <v>5492573</v>
      </c>
      <c r="H35" s="18"/>
      <c r="I35" s="18"/>
      <c r="J35" s="18"/>
      <c r="K35" s="18"/>
      <c r="L35" s="18">
        <f t="shared" ref="L35" si="6">SUM(G35,I35,K35)</f>
        <v>5492573</v>
      </c>
      <c r="M35" s="99">
        <v>24830384</v>
      </c>
    </row>
    <row r="36" spans="2:13" s="178" customFormat="1" ht="21.95" customHeight="1">
      <c r="B36" s="110" t="e">
        <f>'2.간선'!#REF!</f>
        <v>#REF!</v>
      </c>
      <c r="C36" s="231" t="e">
        <f>'2.간선'!#REF!</f>
        <v>#REF!</v>
      </c>
      <c r="D36" s="99" t="s">
        <v>140</v>
      </c>
      <c r="E36" s="491">
        <v>1</v>
      </c>
      <c r="F36" s="18">
        <v>1302664</v>
      </c>
      <c r="G36" s="18">
        <f t="shared" ref="G36" si="7">F36*E36</f>
        <v>1302664</v>
      </c>
      <c r="H36" s="18"/>
      <c r="I36" s="18"/>
      <c r="J36" s="18"/>
      <c r="K36" s="18"/>
      <c r="L36" s="18">
        <f t="shared" ref="L36" si="8">SUM(G36,I36,K36)</f>
        <v>1302664</v>
      </c>
      <c r="M36" s="99">
        <v>24830384</v>
      </c>
    </row>
    <row r="37" spans="2:13" ht="21" customHeight="1">
      <c r="B37" s="164"/>
      <c r="C37" s="165"/>
      <c r="D37" s="99"/>
      <c r="E37" s="18"/>
      <c r="F37" s="18"/>
      <c r="G37" s="18"/>
      <c r="H37" s="18"/>
      <c r="I37" s="18"/>
      <c r="J37" s="18"/>
      <c r="K37" s="18"/>
      <c r="L37" s="18"/>
      <c r="M37" s="99"/>
    </row>
    <row r="38" spans="2:13" s="178" customFormat="1" ht="21.95" customHeight="1">
      <c r="B38" s="164" t="s">
        <v>275</v>
      </c>
      <c r="C38" s="165"/>
      <c r="D38" s="99"/>
      <c r="E38" s="18"/>
      <c r="F38" s="18"/>
      <c r="G38" s="18">
        <f>SUM(G27:G37)</f>
        <v>40808897</v>
      </c>
      <c r="H38" s="18"/>
      <c r="I38" s="18"/>
      <c r="J38" s="18"/>
      <c r="K38" s="18"/>
      <c r="L38" s="18">
        <f>SUM(G38+I38+K38)</f>
        <v>40808897</v>
      </c>
      <c r="M38" s="99"/>
    </row>
    <row r="39" spans="2:13" s="178" customFormat="1" ht="21.95" customHeight="1">
      <c r="B39" s="164" t="s">
        <v>759</v>
      </c>
      <c r="C39" s="291" t="s">
        <v>1354</v>
      </c>
      <c r="D39" s="99" t="s">
        <v>1049</v>
      </c>
      <c r="E39" s="18">
        <v>1</v>
      </c>
      <c r="F39" s="18"/>
      <c r="G39" s="18">
        <f>F39*C39</f>
        <v>0</v>
      </c>
      <c r="H39" s="18"/>
      <c r="I39" s="18"/>
      <c r="J39" s="18"/>
      <c r="K39" s="18"/>
      <c r="L39" s="18">
        <f>INT(L38*0.54%)</f>
        <v>220368</v>
      </c>
      <c r="M39" s="99"/>
    </row>
    <row r="40" spans="2:13" ht="21" customHeight="1">
      <c r="B40" s="164"/>
      <c r="C40" s="165"/>
      <c r="D40" s="99"/>
      <c r="E40" s="18"/>
      <c r="F40" s="18"/>
      <c r="G40" s="18"/>
      <c r="H40" s="18"/>
      <c r="I40" s="18"/>
      <c r="J40" s="18"/>
      <c r="K40" s="18"/>
      <c r="L40" s="18"/>
      <c r="M40" s="99"/>
    </row>
    <row r="41" spans="2:13" ht="21" customHeight="1">
      <c r="B41" s="164" t="s">
        <v>758</v>
      </c>
      <c r="C41" s="165"/>
      <c r="D41" s="99"/>
      <c r="E41" s="18"/>
      <c r="F41" s="18"/>
      <c r="G41" s="18"/>
      <c r="H41" s="18"/>
      <c r="I41" s="18"/>
      <c r="J41" s="18"/>
      <c r="K41" s="18"/>
      <c r="L41" s="18">
        <f>ROUNDUP(L38+L39,-3)</f>
        <v>41030000</v>
      </c>
      <c r="M41" s="99" t="s">
        <v>1355</v>
      </c>
    </row>
    <row r="42" spans="2:13" s="157" customFormat="1" ht="21.95" customHeight="1">
      <c r="B42" s="296"/>
      <c r="C42" s="380"/>
      <c r="D42" s="293"/>
      <c r="E42" s="295"/>
      <c r="F42" s="97"/>
      <c r="G42" s="97"/>
      <c r="H42" s="97"/>
      <c r="I42" s="97"/>
      <c r="J42" s="97"/>
      <c r="K42" s="97"/>
      <c r="L42" s="97"/>
      <c r="M42" s="294"/>
    </row>
    <row r="43" spans="2:13" s="157" customFormat="1" ht="21.95" customHeight="1">
      <c r="B43" s="296"/>
      <c r="C43" s="380"/>
      <c r="D43" s="293"/>
      <c r="E43" s="295"/>
      <c r="F43" s="97"/>
      <c r="G43" s="97"/>
      <c r="H43" s="97"/>
      <c r="I43" s="97"/>
      <c r="J43" s="97"/>
      <c r="K43" s="97"/>
      <c r="L43" s="97"/>
      <c r="M43" s="294"/>
    </row>
    <row r="44" spans="2:13" s="157" customFormat="1" ht="21.95" customHeight="1">
      <c r="B44" s="296"/>
      <c r="C44" s="380"/>
      <c r="D44" s="293"/>
      <c r="E44" s="295"/>
      <c r="F44" s="97"/>
      <c r="G44" s="97"/>
      <c r="H44" s="97"/>
      <c r="I44" s="97"/>
      <c r="J44" s="97"/>
      <c r="K44" s="97"/>
      <c r="L44" s="97"/>
      <c r="M44" s="294"/>
    </row>
    <row r="45" spans="2:13" s="157" customFormat="1" ht="21.95" customHeight="1">
      <c r="B45" s="296"/>
      <c r="C45" s="380"/>
      <c r="D45" s="293"/>
      <c r="E45" s="295"/>
      <c r="F45" s="97"/>
      <c r="G45" s="97"/>
      <c r="H45" s="97"/>
      <c r="I45" s="97"/>
      <c r="J45" s="97"/>
      <c r="K45" s="97"/>
      <c r="L45" s="97"/>
      <c r="M45" s="294"/>
    </row>
    <row r="46" spans="2:13" s="157" customFormat="1" ht="21.95" customHeight="1">
      <c r="B46" s="296"/>
      <c r="C46" s="380"/>
      <c r="D46" s="293"/>
      <c r="E46" s="295"/>
      <c r="F46" s="97"/>
      <c r="G46" s="97"/>
      <c r="H46" s="97"/>
      <c r="I46" s="97"/>
      <c r="J46" s="97"/>
      <c r="K46" s="97"/>
      <c r="L46" s="97"/>
      <c r="M46" s="294"/>
    </row>
    <row r="47" spans="2:13" s="157" customFormat="1" ht="21.95" customHeight="1">
      <c r="B47" s="296"/>
      <c r="C47" s="380"/>
      <c r="D47" s="293"/>
      <c r="E47" s="295"/>
      <c r="F47" s="97"/>
      <c r="G47" s="97"/>
      <c r="H47" s="97"/>
      <c r="I47" s="97"/>
      <c r="J47" s="97"/>
      <c r="K47" s="97"/>
      <c r="L47" s="97"/>
      <c r="M47" s="294"/>
    </row>
    <row r="48" spans="2:13" s="157" customFormat="1" ht="21.95" customHeight="1">
      <c r="B48" s="296"/>
      <c r="C48" s="380"/>
      <c r="D48" s="293"/>
      <c r="E48" s="295"/>
      <c r="F48" s="97"/>
      <c r="G48" s="97"/>
      <c r="H48" s="97"/>
      <c r="I48" s="97"/>
      <c r="J48" s="97"/>
      <c r="K48" s="97"/>
      <c r="L48" s="97"/>
      <c r="M48" s="294"/>
    </row>
    <row r="49" spans="2:13" s="178" customFormat="1" ht="21.95" customHeight="1">
      <c r="B49" s="164" t="s">
        <v>1544</v>
      </c>
      <c r="C49" s="165"/>
      <c r="D49" s="99"/>
      <c r="E49" s="18"/>
      <c r="F49" s="18"/>
      <c r="G49" s="18"/>
      <c r="H49" s="18"/>
      <c r="I49" s="18"/>
      <c r="J49" s="18"/>
      <c r="K49" s="18"/>
      <c r="L49" s="18"/>
      <c r="M49" s="99"/>
    </row>
    <row r="50" spans="2:13" s="178" customFormat="1" ht="21.95" customHeight="1">
      <c r="B50" s="110" t="e">
        <f>#REF!</f>
        <v>#REF!</v>
      </c>
      <c r="C50" s="231" t="e">
        <f>#REF!</f>
        <v>#REF!</v>
      </c>
      <c r="D50" s="99" t="s">
        <v>89</v>
      </c>
      <c r="E50" s="491" t="e">
        <f>#REF!</f>
        <v>#REF!</v>
      </c>
      <c r="F50" s="18">
        <v>87500</v>
      </c>
      <c r="G50" s="18" t="e">
        <f t="shared" ref="G50" si="9">F50*E50</f>
        <v>#REF!</v>
      </c>
      <c r="H50" s="18"/>
      <c r="I50" s="18"/>
      <c r="J50" s="18"/>
      <c r="K50" s="18"/>
      <c r="L50" s="18" t="e">
        <f>SUM(G50,I50,K50)</f>
        <v>#REF!</v>
      </c>
      <c r="M50" s="99">
        <v>24659273</v>
      </c>
    </row>
    <row r="51" spans="2:13" s="178" customFormat="1" ht="21.95" customHeight="1">
      <c r="B51" s="110" t="e">
        <f>#REF!</f>
        <v>#REF!</v>
      </c>
      <c r="C51" s="231" t="e">
        <f>#REF!</f>
        <v>#REF!</v>
      </c>
      <c r="D51" s="99" t="s">
        <v>89</v>
      </c>
      <c r="E51" s="491" t="e">
        <f>#REF!</f>
        <v>#REF!</v>
      </c>
      <c r="F51" s="18">
        <v>39000</v>
      </c>
      <c r="G51" s="18" t="e">
        <f t="shared" ref="G51:G56" si="10">F51*E51</f>
        <v>#REF!</v>
      </c>
      <c r="H51" s="18"/>
      <c r="I51" s="18"/>
      <c r="J51" s="18"/>
      <c r="K51" s="18"/>
      <c r="L51" s="18" t="e">
        <f t="shared" ref="L51:L54" si="11">SUM(G51,I51,K51)</f>
        <v>#REF!</v>
      </c>
      <c r="M51" s="99">
        <v>23657119</v>
      </c>
    </row>
    <row r="52" spans="2:13" s="178" customFormat="1" ht="21.95" customHeight="1">
      <c r="B52" s="110" t="e">
        <f>#REF!</f>
        <v>#REF!</v>
      </c>
      <c r="C52" s="231" t="e">
        <f>#REF!</f>
        <v>#REF!</v>
      </c>
      <c r="D52" s="99" t="s">
        <v>89</v>
      </c>
      <c r="E52" s="491" t="e">
        <f>#REF!</f>
        <v>#REF!</v>
      </c>
      <c r="F52" s="18">
        <v>79000</v>
      </c>
      <c r="G52" s="18" t="e">
        <f t="shared" si="10"/>
        <v>#REF!</v>
      </c>
      <c r="H52" s="18"/>
      <c r="I52" s="18"/>
      <c r="J52" s="18"/>
      <c r="K52" s="18"/>
      <c r="L52" s="18" t="e">
        <f t="shared" si="11"/>
        <v>#REF!</v>
      </c>
      <c r="M52" s="99">
        <v>24112596</v>
      </c>
    </row>
    <row r="53" spans="2:13" s="178" customFormat="1" ht="21.95" customHeight="1">
      <c r="B53" s="110" t="e">
        <f>#REF!</f>
        <v>#REF!</v>
      </c>
      <c r="C53" s="231" t="e">
        <f>#REF!</f>
        <v>#REF!</v>
      </c>
      <c r="D53" s="99" t="s">
        <v>89</v>
      </c>
      <c r="E53" s="491" t="e">
        <f>#REF!</f>
        <v>#REF!</v>
      </c>
      <c r="F53" s="18">
        <v>79000</v>
      </c>
      <c r="G53" s="18" t="e">
        <f t="shared" si="10"/>
        <v>#REF!</v>
      </c>
      <c r="H53" s="18"/>
      <c r="I53" s="18"/>
      <c r="J53" s="18"/>
      <c r="K53" s="18"/>
      <c r="L53" s="18" t="e">
        <f t="shared" si="11"/>
        <v>#REF!</v>
      </c>
      <c r="M53" s="99">
        <v>24112596</v>
      </c>
    </row>
    <row r="54" spans="2:13" s="178" customFormat="1" ht="21.95" customHeight="1">
      <c r="B54" s="110" t="e">
        <f>#REF!</f>
        <v>#REF!</v>
      </c>
      <c r="C54" s="231" t="e">
        <f>#REF!</f>
        <v>#REF!</v>
      </c>
      <c r="D54" s="99" t="s">
        <v>89</v>
      </c>
      <c r="E54" s="491" t="e">
        <f>#REF!</f>
        <v>#REF!</v>
      </c>
      <c r="F54" s="18">
        <v>108000</v>
      </c>
      <c r="G54" s="18" t="e">
        <f t="shared" si="10"/>
        <v>#REF!</v>
      </c>
      <c r="H54" s="18"/>
      <c r="I54" s="18"/>
      <c r="J54" s="18"/>
      <c r="K54" s="18"/>
      <c r="L54" s="18" t="e">
        <f t="shared" si="11"/>
        <v>#REF!</v>
      </c>
      <c r="M54" s="99">
        <v>22672266</v>
      </c>
    </row>
    <row r="55" spans="2:13" s="178" customFormat="1" ht="21.95" customHeight="1">
      <c r="B55" s="110" t="e">
        <f>#REF!</f>
        <v>#REF!</v>
      </c>
      <c r="C55" s="231" t="e">
        <f>#REF!</f>
        <v>#REF!</v>
      </c>
      <c r="D55" s="99" t="s">
        <v>89</v>
      </c>
      <c r="E55" s="491" t="e">
        <f>#REF!</f>
        <v>#REF!</v>
      </c>
      <c r="F55" s="18">
        <v>215000</v>
      </c>
      <c r="G55" s="18" t="e">
        <f t="shared" si="10"/>
        <v>#REF!</v>
      </c>
      <c r="H55" s="18"/>
      <c r="I55" s="18"/>
      <c r="J55" s="18"/>
      <c r="K55" s="18"/>
      <c r="L55" s="18" t="e">
        <f>SUM(G55,I55,K55)</f>
        <v>#REF!</v>
      </c>
      <c r="M55" s="99">
        <v>25725655</v>
      </c>
    </row>
    <row r="56" spans="2:13" s="178" customFormat="1" ht="21.95" customHeight="1">
      <c r="B56" s="110" t="e">
        <f>#REF!</f>
        <v>#REF!</v>
      </c>
      <c r="C56" s="231" t="e">
        <f>#REF!</f>
        <v>#REF!</v>
      </c>
      <c r="D56" s="99" t="s">
        <v>89</v>
      </c>
      <c r="E56" s="491" t="e">
        <f>#REF!</f>
        <v>#REF!</v>
      </c>
      <c r="F56" s="18">
        <v>52000</v>
      </c>
      <c r="G56" s="18" t="e">
        <f t="shared" si="10"/>
        <v>#REF!</v>
      </c>
      <c r="H56" s="18"/>
      <c r="I56" s="18"/>
      <c r="J56" s="18"/>
      <c r="K56" s="18"/>
      <c r="L56" s="18" t="e">
        <f t="shared" ref="L56" si="12">SUM(G56,I56,K56)</f>
        <v>#REF!</v>
      </c>
      <c r="M56" s="99">
        <v>24306100</v>
      </c>
    </row>
    <row r="57" spans="2:13" s="178" customFormat="1" ht="21.95" customHeight="1">
      <c r="B57" s="110" t="e">
        <f>#REF!</f>
        <v>#REF!</v>
      </c>
      <c r="C57" s="231" t="e">
        <f>#REF!</f>
        <v>#REF!</v>
      </c>
      <c r="D57" s="99" t="s">
        <v>89</v>
      </c>
      <c r="E57" s="491" t="e">
        <f>#REF!</f>
        <v>#REF!</v>
      </c>
      <c r="F57" s="18">
        <v>180000</v>
      </c>
      <c r="G57" s="18" t="e">
        <f t="shared" ref="G57" si="13">F57*E57</f>
        <v>#REF!</v>
      </c>
      <c r="H57" s="18"/>
      <c r="I57" s="18"/>
      <c r="J57" s="18"/>
      <c r="K57" s="18"/>
      <c r="L57" s="18" t="e">
        <f>SUM(G57,I57,K57)</f>
        <v>#REF!</v>
      </c>
      <c r="M57" s="99">
        <v>25851127</v>
      </c>
    </row>
    <row r="58" spans="2:13" s="178" customFormat="1" ht="21.95" customHeight="1">
      <c r="B58" s="110"/>
      <c r="C58" s="231"/>
      <c r="D58" s="99"/>
      <c r="E58" s="491"/>
      <c r="F58" s="18"/>
      <c r="G58" s="18"/>
      <c r="H58" s="18"/>
      <c r="I58" s="18"/>
      <c r="J58" s="18"/>
      <c r="K58" s="18"/>
      <c r="L58" s="18"/>
      <c r="M58" s="516"/>
    </row>
    <row r="59" spans="2:13" s="178" customFormat="1" ht="21.95" customHeight="1">
      <c r="B59" s="164" t="s">
        <v>275</v>
      </c>
      <c r="C59" s="165"/>
      <c r="D59" s="99"/>
      <c r="E59" s="18"/>
      <c r="F59" s="18"/>
      <c r="G59" s="18" t="e">
        <f>SUM(G50:G58)</f>
        <v>#REF!</v>
      </c>
      <c r="H59" s="18"/>
      <c r="I59" s="18"/>
      <c r="J59" s="18"/>
      <c r="K59" s="18"/>
      <c r="L59" s="18" t="e">
        <f>SUM(G59+I59+K59)</f>
        <v>#REF!</v>
      </c>
      <c r="M59" s="99"/>
    </row>
    <row r="60" spans="2:13" s="178" customFormat="1" ht="21.95" customHeight="1">
      <c r="B60" s="164" t="s">
        <v>759</v>
      </c>
      <c r="C60" s="291" t="s">
        <v>1354</v>
      </c>
      <c r="D60" s="99" t="s">
        <v>98</v>
      </c>
      <c r="E60" s="18">
        <v>1</v>
      </c>
      <c r="F60" s="18"/>
      <c r="G60" s="18">
        <f>F60*C60</f>
        <v>0</v>
      </c>
      <c r="H60" s="18"/>
      <c r="I60" s="18"/>
      <c r="J60" s="18"/>
      <c r="K60" s="18"/>
      <c r="L60" s="18" t="e">
        <f>INT(L59*0.54%)</f>
        <v>#REF!</v>
      </c>
      <c r="M60" s="99"/>
    </row>
    <row r="61" spans="2:13" ht="21" customHeight="1">
      <c r="B61" s="164"/>
      <c r="C61" s="165"/>
      <c r="D61" s="99"/>
      <c r="E61" s="18"/>
      <c r="F61" s="18"/>
      <c r="G61" s="18"/>
      <c r="H61" s="18"/>
      <c r="I61" s="18"/>
      <c r="J61" s="18"/>
      <c r="K61" s="18"/>
      <c r="L61" s="18"/>
      <c r="M61" s="99"/>
    </row>
    <row r="62" spans="2:13" ht="21" customHeight="1">
      <c r="B62" s="164" t="s">
        <v>758</v>
      </c>
      <c r="C62" s="165"/>
      <c r="D62" s="99"/>
      <c r="E62" s="18"/>
      <c r="F62" s="18"/>
      <c r="G62" s="18"/>
      <c r="H62" s="18"/>
      <c r="I62" s="18"/>
      <c r="J62" s="18"/>
      <c r="K62" s="18"/>
      <c r="L62" s="18" t="e">
        <f>ROUNDUP(L59+L60,-3)</f>
        <v>#REF!</v>
      </c>
      <c r="M62" s="99" t="s">
        <v>741</v>
      </c>
    </row>
    <row r="63" spans="2:13" ht="21" customHeight="1">
      <c r="B63" s="164"/>
      <c r="C63" s="165"/>
      <c r="D63" s="99"/>
      <c r="E63" s="18"/>
      <c r="F63" s="18"/>
      <c r="G63" s="18"/>
      <c r="H63" s="18"/>
      <c r="I63" s="18"/>
      <c r="J63" s="18"/>
      <c r="K63" s="18"/>
      <c r="L63" s="18"/>
      <c r="M63" s="99"/>
    </row>
    <row r="64" spans="2:13" ht="21" customHeight="1">
      <c r="B64" s="164"/>
      <c r="C64" s="165"/>
      <c r="D64" s="99"/>
      <c r="E64" s="18"/>
      <c r="F64" s="18"/>
      <c r="G64" s="18"/>
      <c r="H64" s="18"/>
      <c r="I64" s="18"/>
      <c r="J64" s="18"/>
      <c r="K64" s="18"/>
      <c r="L64" s="18"/>
      <c r="M64" s="99"/>
    </row>
    <row r="65" spans="2:13" ht="21" customHeight="1">
      <c r="B65" s="164"/>
      <c r="C65" s="165"/>
      <c r="D65" s="99"/>
      <c r="E65" s="18"/>
      <c r="F65" s="18"/>
      <c r="G65" s="18"/>
      <c r="H65" s="18"/>
      <c r="I65" s="18"/>
      <c r="J65" s="18"/>
      <c r="K65" s="18"/>
      <c r="L65" s="18"/>
      <c r="M65" s="99"/>
    </row>
    <row r="66" spans="2:13" ht="21" customHeight="1">
      <c r="B66" s="164"/>
      <c r="C66" s="165"/>
      <c r="D66" s="99"/>
      <c r="E66" s="18"/>
      <c r="F66" s="18"/>
      <c r="G66" s="18"/>
      <c r="H66" s="18"/>
      <c r="I66" s="18"/>
      <c r="J66" s="18"/>
      <c r="K66" s="18"/>
      <c r="L66" s="18"/>
      <c r="M66" s="99"/>
    </row>
    <row r="67" spans="2:13" ht="21" customHeight="1">
      <c r="B67" s="164"/>
      <c r="C67" s="165"/>
      <c r="D67" s="99"/>
      <c r="E67" s="18"/>
      <c r="F67" s="18"/>
      <c r="G67" s="18"/>
      <c r="H67" s="18"/>
      <c r="I67" s="18"/>
      <c r="J67" s="18"/>
      <c r="K67" s="18"/>
      <c r="L67" s="18"/>
      <c r="M67" s="99"/>
    </row>
    <row r="68" spans="2:13" ht="21" customHeight="1">
      <c r="B68" s="164"/>
      <c r="C68" s="165"/>
      <c r="D68" s="99"/>
      <c r="E68" s="18"/>
      <c r="F68" s="18"/>
      <c r="G68" s="18"/>
      <c r="H68" s="18"/>
      <c r="I68" s="18"/>
      <c r="J68" s="18"/>
      <c r="K68" s="18"/>
      <c r="L68" s="18"/>
      <c r="M68" s="99"/>
    </row>
    <row r="69" spans="2:13" ht="21" customHeight="1">
      <c r="B69" s="164"/>
      <c r="C69" s="165"/>
      <c r="D69" s="99"/>
      <c r="E69" s="18"/>
      <c r="F69" s="18"/>
      <c r="G69" s="18"/>
      <c r="H69" s="18"/>
      <c r="I69" s="18"/>
      <c r="J69" s="18"/>
      <c r="K69" s="18"/>
      <c r="L69" s="18"/>
      <c r="M69" s="99"/>
    </row>
    <row r="70" spans="2:13" ht="21" customHeight="1">
      <c r="B70" s="164"/>
      <c r="C70" s="165"/>
      <c r="D70" s="99"/>
      <c r="E70" s="18"/>
      <c r="F70" s="18"/>
      <c r="G70" s="18"/>
      <c r="H70" s="18"/>
      <c r="I70" s="18"/>
      <c r="J70" s="18"/>
      <c r="K70" s="18"/>
      <c r="L70" s="18"/>
      <c r="M70" s="99"/>
    </row>
    <row r="71" spans="2:13" ht="21" customHeight="1">
      <c r="B71" s="164"/>
      <c r="C71" s="165"/>
      <c r="D71" s="99"/>
      <c r="E71" s="18"/>
      <c r="F71" s="18"/>
      <c r="G71" s="18"/>
      <c r="H71" s="18"/>
      <c r="I71" s="18"/>
      <c r="J71" s="18"/>
      <c r="K71" s="18"/>
      <c r="L71" s="18"/>
      <c r="M71" s="99"/>
    </row>
  </sheetData>
  <mergeCells count="9">
    <mergeCell ref="B1:B2"/>
    <mergeCell ref="C1:C2"/>
    <mergeCell ref="E1:E2"/>
    <mergeCell ref="M1:M2"/>
    <mergeCell ref="F1:G1"/>
    <mergeCell ref="H1:I1"/>
    <mergeCell ref="J1:K1"/>
    <mergeCell ref="L1:L2"/>
    <mergeCell ref="D1:D2"/>
  </mergeCells>
  <phoneticPr fontId="4" type="noConversion"/>
  <pageMargins left="0.78740157480314965" right="0.39370078740157483" top="0.77" bottom="0.28000000000000003" header="0.47244094488188981" footer="0.23622047244094491"/>
  <pageSetup paperSize="9" scale="94" orientation="landscape" r:id="rId1"/>
  <headerFooter alignWithMargins="0">
    <oddHeader>&amp;C&amp;"굴림체,굵게"&amp;14설  계  내  역  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8"/>
  <sheetViews>
    <sheetView showZeros="0" view="pageBreakPreview" workbookViewId="0">
      <selection activeCell="G13" sqref="G13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376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8"/>
  <sheetViews>
    <sheetView view="pageBreakPreview" zoomScale="60" zoomScaleNormal="100" workbookViewId="0">
      <selection activeCell="E11" sqref="E11"/>
    </sheetView>
  </sheetViews>
  <sheetFormatPr defaultRowHeight="13.5"/>
  <cols>
    <col min="1" max="2" width="18.44140625" customWidth="1"/>
    <col min="6" max="6" width="10.109375" customWidth="1"/>
    <col min="8" max="8" width="10.109375" customWidth="1"/>
    <col min="10" max="11" width="10.109375" customWidth="1"/>
  </cols>
  <sheetData>
    <row r="1" spans="1:12">
      <c r="A1" s="609" t="s">
        <v>315</v>
      </c>
      <c r="B1" s="609" t="s">
        <v>1851</v>
      </c>
      <c r="C1" s="619" t="s">
        <v>317</v>
      </c>
      <c r="D1" s="605" t="s">
        <v>1852</v>
      </c>
      <c r="E1" s="605" t="s">
        <v>29</v>
      </c>
      <c r="F1" s="605"/>
      <c r="G1" s="605" t="s">
        <v>37</v>
      </c>
      <c r="H1" s="605"/>
      <c r="I1" s="605" t="s">
        <v>1853</v>
      </c>
      <c r="J1" s="605"/>
      <c r="K1" s="605" t="s">
        <v>1854</v>
      </c>
      <c r="L1" s="604" t="s">
        <v>1855</v>
      </c>
    </row>
    <row r="2" spans="1:12">
      <c r="A2" s="609"/>
      <c r="B2" s="609"/>
      <c r="C2" s="620"/>
      <c r="D2" s="605"/>
      <c r="E2" s="558" t="s">
        <v>1856</v>
      </c>
      <c r="F2" s="558" t="s">
        <v>1857</v>
      </c>
      <c r="G2" s="558" t="s">
        <v>1856</v>
      </c>
      <c r="H2" s="558" t="s">
        <v>1857</v>
      </c>
      <c r="I2" s="558" t="s">
        <v>1856</v>
      </c>
      <c r="J2" s="558" t="s">
        <v>1857</v>
      </c>
      <c r="K2" s="605"/>
      <c r="L2" s="604"/>
    </row>
    <row r="3" spans="1:12" ht="20.25" customHeight="1">
      <c r="A3" s="573" t="s">
        <v>1858</v>
      </c>
      <c r="B3" s="566"/>
      <c r="C3" s="567"/>
      <c r="D3" s="568"/>
      <c r="E3" s="569"/>
      <c r="F3" s="557"/>
      <c r="G3" s="556"/>
      <c r="H3" s="556"/>
      <c r="I3" s="556"/>
      <c r="J3" s="556"/>
      <c r="K3" s="556"/>
      <c r="L3" s="559"/>
    </row>
    <row r="4" spans="1:12" ht="20.25" customHeight="1">
      <c r="A4" s="561" t="s">
        <v>1859</v>
      </c>
      <c r="B4" s="566"/>
      <c r="C4" s="567" t="s">
        <v>745</v>
      </c>
      <c r="D4" s="568">
        <v>1</v>
      </c>
      <c r="E4" s="574">
        <f>F31</f>
        <v>67361800</v>
      </c>
      <c r="F4" s="574">
        <f>E4</f>
        <v>67361800</v>
      </c>
      <c r="G4" s="574"/>
      <c r="H4" s="574"/>
      <c r="I4" s="574"/>
      <c r="J4" s="574"/>
      <c r="K4" s="556">
        <f>F4</f>
        <v>67361800</v>
      </c>
      <c r="L4" s="562" t="s">
        <v>1868</v>
      </c>
    </row>
    <row r="5" spans="1:12" ht="20.25" customHeight="1">
      <c r="A5" s="561"/>
      <c r="B5" s="566"/>
      <c r="C5" s="567"/>
      <c r="D5" s="568"/>
      <c r="E5" s="569"/>
      <c r="F5" s="557"/>
      <c r="G5" s="556"/>
      <c r="H5" s="556"/>
      <c r="I5" s="556"/>
      <c r="J5" s="556"/>
      <c r="K5" s="556"/>
      <c r="L5" s="559"/>
    </row>
    <row r="6" spans="1:12" ht="20.25" customHeight="1">
      <c r="A6" s="621" t="s">
        <v>1860</v>
      </c>
      <c r="B6" s="621"/>
      <c r="C6" s="562"/>
      <c r="D6" s="557"/>
      <c r="E6" s="557"/>
      <c r="F6" s="574"/>
      <c r="G6" s="556"/>
      <c r="H6" s="556"/>
      <c r="I6" s="556"/>
      <c r="J6" s="556"/>
      <c r="K6" s="556">
        <f>K4</f>
        <v>67361800</v>
      </c>
      <c r="L6" s="559"/>
    </row>
    <row r="7" spans="1:12" ht="20.25" customHeight="1">
      <c r="A7" s="566"/>
      <c r="B7" s="566"/>
      <c r="C7" s="567"/>
      <c r="D7" s="568"/>
      <c r="E7" s="557"/>
      <c r="F7" s="557"/>
      <c r="G7" s="556"/>
      <c r="H7" s="556"/>
      <c r="I7" s="556"/>
      <c r="J7" s="556"/>
      <c r="K7" s="556"/>
      <c r="L7" s="559"/>
    </row>
    <row r="8" spans="1:12" ht="20.25" customHeight="1">
      <c r="A8" s="563"/>
      <c r="B8" s="564"/>
      <c r="C8" s="559"/>
      <c r="D8" s="556"/>
      <c r="E8" s="556"/>
      <c r="F8" s="556"/>
      <c r="G8" s="556"/>
      <c r="H8" s="556"/>
      <c r="I8" s="556"/>
      <c r="J8" s="556"/>
      <c r="K8" s="556"/>
      <c r="L8" s="559"/>
    </row>
    <row r="9" spans="1:12" ht="20.25" customHeight="1">
      <c r="A9" s="570"/>
      <c r="B9" s="571"/>
      <c r="C9" s="562"/>
      <c r="D9" s="557"/>
      <c r="E9" s="557"/>
      <c r="F9" s="557"/>
      <c r="G9" s="556"/>
      <c r="H9" s="556"/>
      <c r="I9" s="556"/>
      <c r="J9" s="556"/>
      <c r="K9" s="556"/>
      <c r="L9" s="559"/>
    </row>
    <row r="10" spans="1:12" ht="20.25" customHeight="1">
      <c r="A10" s="570"/>
      <c r="B10" s="571"/>
      <c r="C10" s="562"/>
      <c r="D10" s="557"/>
      <c r="E10" s="557"/>
      <c r="F10" s="557"/>
      <c r="G10" s="556"/>
      <c r="H10" s="556"/>
      <c r="I10" s="556"/>
      <c r="J10" s="556"/>
      <c r="K10" s="556"/>
      <c r="L10" s="559"/>
    </row>
    <row r="11" spans="1:12" ht="20.25" customHeight="1">
      <c r="A11" s="566"/>
      <c r="B11" s="566"/>
      <c r="C11" s="567"/>
      <c r="D11" s="568"/>
      <c r="E11" s="569"/>
      <c r="F11" s="557"/>
      <c r="G11" s="556"/>
      <c r="H11" s="556"/>
      <c r="I11" s="556"/>
      <c r="J11" s="556"/>
      <c r="K11" s="556"/>
      <c r="L11" s="559"/>
    </row>
    <row r="12" spans="1:12" ht="20.25" customHeight="1">
      <c r="A12" s="566"/>
      <c r="B12" s="566"/>
      <c r="C12" s="567"/>
      <c r="D12" s="568"/>
      <c r="E12" s="569"/>
      <c r="F12" s="557"/>
      <c r="G12" s="556"/>
      <c r="H12" s="556"/>
      <c r="I12" s="556"/>
      <c r="J12" s="556"/>
      <c r="K12" s="556"/>
      <c r="L12" s="559"/>
    </row>
    <row r="13" spans="1:12" ht="20.25" customHeight="1">
      <c r="A13" s="557"/>
      <c r="B13" s="557"/>
      <c r="C13" s="562"/>
      <c r="D13" s="557"/>
      <c r="E13" s="557"/>
      <c r="F13" s="557"/>
      <c r="G13" s="556"/>
      <c r="H13" s="556"/>
      <c r="I13" s="556"/>
      <c r="J13" s="556"/>
      <c r="K13" s="556"/>
      <c r="L13" s="559"/>
    </row>
    <row r="14" spans="1:12" ht="20.25" customHeight="1">
      <c r="A14" s="575"/>
      <c r="B14" s="575"/>
      <c r="C14" s="576"/>
      <c r="D14" s="575"/>
      <c r="E14" s="557"/>
      <c r="F14" s="557"/>
      <c r="G14" s="556"/>
      <c r="H14" s="556"/>
      <c r="I14" s="556"/>
      <c r="J14" s="556"/>
      <c r="K14" s="556"/>
      <c r="L14" s="559"/>
    </row>
    <row r="15" spans="1:12" ht="20.25" customHeight="1">
      <c r="A15" s="566"/>
      <c r="B15" s="566"/>
      <c r="C15" s="567"/>
      <c r="D15" s="568"/>
      <c r="E15" s="557"/>
      <c r="F15" s="557"/>
      <c r="G15" s="556"/>
      <c r="H15" s="556"/>
      <c r="I15" s="556"/>
      <c r="J15" s="556"/>
      <c r="K15" s="556"/>
      <c r="L15" s="559"/>
    </row>
    <row r="16" spans="1:12" ht="20.25" customHeight="1">
      <c r="A16" s="563"/>
      <c r="B16" s="564"/>
      <c r="C16" s="559"/>
      <c r="D16" s="556"/>
      <c r="E16" s="556"/>
      <c r="F16" s="556"/>
      <c r="G16" s="556"/>
      <c r="H16" s="556"/>
      <c r="I16" s="556"/>
      <c r="J16" s="556"/>
      <c r="K16" s="556"/>
      <c r="L16" s="559"/>
    </row>
    <row r="17" spans="1:12" ht="20.25" customHeight="1">
      <c r="A17" s="563"/>
      <c r="B17" s="564"/>
      <c r="C17" s="559"/>
      <c r="D17" s="556"/>
      <c r="E17" s="556"/>
      <c r="F17" s="556"/>
      <c r="G17" s="556"/>
      <c r="H17" s="556"/>
      <c r="I17" s="556"/>
      <c r="J17" s="556"/>
      <c r="K17" s="556"/>
      <c r="L17" s="559"/>
    </row>
    <row r="18" spans="1:12" ht="20.25" customHeight="1">
      <c r="A18" s="563"/>
      <c r="B18" s="564"/>
      <c r="C18" s="559"/>
      <c r="D18" s="556"/>
      <c r="E18" s="556"/>
      <c r="F18" s="556"/>
      <c r="G18" s="556"/>
      <c r="H18" s="556"/>
      <c r="I18" s="556"/>
      <c r="J18" s="556"/>
      <c r="K18" s="556"/>
      <c r="L18" s="559"/>
    </row>
    <row r="19" spans="1:12" ht="20.25" customHeight="1">
      <c r="A19" s="563"/>
      <c r="B19" s="564"/>
      <c r="C19" s="559"/>
      <c r="D19" s="556"/>
      <c r="E19" s="556"/>
      <c r="F19" s="556"/>
      <c r="G19" s="556"/>
      <c r="H19" s="556"/>
      <c r="I19" s="556"/>
      <c r="J19" s="556"/>
      <c r="K19" s="556"/>
      <c r="L19" s="559"/>
    </row>
    <row r="20" spans="1:12" ht="20.25" customHeight="1">
      <c r="A20" s="563"/>
      <c r="B20" s="564"/>
      <c r="C20" s="559"/>
      <c r="D20" s="556"/>
      <c r="E20" s="556"/>
      <c r="F20" s="556"/>
      <c r="G20" s="556"/>
      <c r="H20" s="556"/>
      <c r="I20" s="556"/>
      <c r="J20" s="556"/>
      <c r="K20" s="556"/>
      <c r="L20" s="559"/>
    </row>
    <row r="21" spans="1:12" ht="20.25" customHeight="1">
      <c r="A21" s="563"/>
      <c r="B21" s="564"/>
      <c r="C21" s="559"/>
      <c r="D21" s="556"/>
      <c r="E21" s="556"/>
      <c r="F21" s="556"/>
      <c r="G21" s="556"/>
      <c r="H21" s="556"/>
      <c r="I21" s="556"/>
      <c r="J21" s="556"/>
      <c r="K21" s="556"/>
      <c r="L21" s="559"/>
    </row>
    <row r="22" spans="1:12" ht="20.25" customHeight="1">
      <c r="A22" s="563"/>
      <c r="B22" s="564"/>
      <c r="C22" s="559"/>
      <c r="D22" s="556"/>
      <c r="E22" s="556"/>
      <c r="F22" s="556"/>
      <c r="G22" s="556"/>
      <c r="H22" s="556"/>
      <c r="I22" s="556"/>
      <c r="J22" s="556"/>
      <c r="K22" s="556"/>
      <c r="L22" s="559"/>
    </row>
    <row r="23" spans="1:12" ht="20.25" customHeight="1">
      <c r="A23" s="563"/>
      <c r="B23" s="564"/>
      <c r="C23" s="559"/>
      <c r="D23" s="556"/>
      <c r="E23" s="556"/>
      <c r="F23" s="556"/>
      <c r="G23" s="556"/>
      <c r="H23" s="556"/>
      <c r="I23" s="556"/>
      <c r="J23" s="556"/>
      <c r="K23" s="556"/>
      <c r="L23" s="559"/>
    </row>
    <row r="24" spans="1:12" ht="20.25" customHeight="1">
      <c r="A24" s="563"/>
      <c r="B24" s="564"/>
      <c r="C24" s="559"/>
      <c r="D24" s="556"/>
      <c r="E24" s="556"/>
      <c r="F24" s="556"/>
      <c r="G24" s="556"/>
      <c r="H24" s="556"/>
      <c r="I24" s="556"/>
      <c r="J24" s="556"/>
      <c r="K24" s="556"/>
      <c r="L24" s="559"/>
    </row>
    <row r="25" spans="1:12" ht="20.25" customHeight="1">
      <c r="A25" s="563"/>
      <c r="B25" s="564"/>
      <c r="C25" s="559"/>
      <c r="D25" s="556"/>
      <c r="E25" s="556"/>
      <c r="F25" s="556"/>
      <c r="G25" s="556"/>
      <c r="H25" s="556"/>
      <c r="I25" s="556"/>
      <c r="J25" s="556"/>
      <c r="K25" s="556"/>
      <c r="L25" s="559"/>
    </row>
    <row r="26" spans="1:12" ht="20.25" customHeight="1">
      <c r="A26" s="563" t="s">
        <v>1859</v>
      </c>
      <c r="B26" s="564"/>
      <c r="C26" s="559"/>
      <c r="D26" s="556"/>
      <c r="E26" s="556"/>
      <c r="F26" s="556"/>
      <c r="G26" s="556"/>
      <c r="H26" s="556"/>
      <c r="I26" s="556"/>
      <c r="J26" s="556"/>
      <c r="K26" s="556"/>
      <c r="L26" s="559"/>
    </row>
    <row r="27" spans="1:12" ht="20.25" customHeight="1">
      <c r="A27" s="565" t="s">
        <v>1861</v>
      </c>
      <c r="B27" s="560" t="s">
        <v>1862</v>
      </c>
      <c r="C27" s="577" t="s">
        <v>745</v>
      </c>
      <c r="D27" s="556">
        <v>1</v>
      </c>
      <c r="E27" s="574">
        <v>67000000</v>
      </c>
      <c r="F27" s="556">
        <v>67000000</v>
      </c>
      <c r="G27" s="556"/>
      <c r="H27" s="556"/>
      <c r="I27" s="556"/>
      <c r="J27" s="556"/>
      <c r="K27" s="556">
        <v>67000000</v>
      </c>
      <c r="L27" s="559">
        <v>24275611</v>
      </c>
    </row>
    <row r="28" spans="1:12" ht="20.25" customHeight="1">
      <c r="A28" s="563" t="s">
        <v>1863</v>
      </c>
      <c r="B28" s="564"/>
      <c r="C28" s="559"/>
      <c r="D28" s="556"/>
      <c r="E28" s="556"/>
      <c r="F28" s="556">
        <f>F27</f>
        <v>67000000</v>
      </c>
      <c r="G28" s="556"/>
      <c r="H28" s="556"/>
      <c r="I28" s="556"/>
      <c r="J28" s="556"/>
      <c r="K28" s="556">
        <f>K27</f>
        <v>67000000</v>
      </c>
      <c r="L28" s="559"/>
    </row>
    <row r="29" spans="1:12" ht="20.25" customHeight="1">
      <c r="A29" s="563" t="s">
        <v>1864</v>
      </c>
      <c r="B29" s="572" t="s">
        <v>1865</v>
      </c>
      <c r="C29" s="559" t="s">
        <v>745</v>
      </c>
      <c r="D29" s="556">
        <v>1</v>
      </c>
      <c r="E29" s="556"/>
      <c r="F29" s="556">
        <f>TRUNC(F28*0.0054)</f>
        <v>361800</v>
      </c>
      <c r="G29" s="556"/>
      <c r="H29" s="556"/>
      <c r="I29" s="556"/>
      <c r="J29" s="556"/>
      <c r="K29" s="556">
        <f>TRUNC(K28*0.0054)</f>
        <v>361800</v>
      </c>
      <c r="L29" s="559"/>
    </row>
    <row r="30" spans="1:12" ht="20.25" customHeight="1">
      <c r="A30" s="563"/>
      <c r="B30" s="564"/>
      <c r="C30" s="559"/>
      <c r="D30" s="556"/>
      <c r="E30" s="556"/>
      <c r="F30" s="556"/>
      <c r="G30" s="556"/>
      <c r="H30" s="556"/>
      <c r="I30" s="556"/>
      <c r="J30" s="556"/>
      <c r="K30" s="556"/>
      <c r="L30" s="559"/>
    </row>
    <row r="31" spans="1:12" ht="20.25" customHeight="1">
      <c r="A31" s="563" t="s">
        <v>353</v>
      </c>
      <c r="B31" s="564"/>
      <c r="C31" s="559"/>
      <c r="D31" s="556"/>
      <c r="E31" s="556"/>
      <c r="F31" s="556">
        <f>F29+F28</f>
        <v>67361800</v>
      </c>
      <c r="G31" s="556"/>
      <c r="H31" s="556"/>
      <c r="I31" s="556"/>
      <c r="J31" s="556"/>
      <c r="K31" s="556">
        <f>SUM(K28:K29)</f>
        <v>67361800</v>
      </c>
      <c r="L31" s="559" t="s">
        <v>1866</v>
      </c>
    </row>
    <row r="32" spans="1:12" ht="20.25" customHeight="1">
      <c r="A32" s="563"/>
      <c r="B32" s="564"/>
      <c r="C32" s="559"/>
      <c r="D32" s="556"/>
      <c r="E32" s="556"/>
      <c r="F32" s="556"/>
      <c r="G32" s="556"/>
      <c r="H32" s="556"/>
      <c r="I32" s="556"/>
      <c r="J32" s="556"/>
      <c r="K32" s="556"/>
      <c r="L32" s="559"/>
    </row>
    <row r="33" spans="1:12" ht="20.25" customHeight="1">
      <c r="A33" s="563"/>
      <c r="B33" s="564"/>
      <c r="C33" s="559"/>
      <c r="D33" s="556"/>
      <c r="E33" s="556"/>
      <c r="F33" s="556"/>
      <c r="G33" s="556"/>
      <c r="H33" s="556"/>
      <c r="I33" s="556"/>
      <c r="J33" s="556"/>
      <c r="K33" s="556"/>
      <c r="L33" s="559"/>
    </row>
    <row r="34" spans="1:12" ht="20.25" customHeight="1">
      <c r="A34" s="563"/>
      <c r="B34" s="564"/>
      <c r="C34" s="559"/>
      <c r="D34" s="556"/>
      <c r="E34" s="556"/>
      <c r="F34" s="556"/>
      <c r="G34" s="556"/>
      <c r="H34" s="556"/>
      <c r="I34" s="556"/>
      <c r="J34" s="556"/>
      <c r="K34" s="556"/>
      <c r="L34" s="559"/>
    </row>
    <row r="35" spans="1:12" ht="20.25" customHeight="1">
      <c r="A35" s="563"/>
      <c r="B35" s="564"/>
      <c r="C35" s="559"/>
      <c r="D35" s="556"/>
      <c r="E35" s="556"/>
      <c r="F35" s="556"/>
      <c r="G35" s="556"/>
      <c r="H35" s="556"/>
      <c r="I35" s="556"/>
      <c r="J35" s="556"/>
      <c r="K35" s="556"/>
      <c r="L35" s="559"/>
    </row>
    <row r="36" spans="1:12" ht="20.25" customHeight="1">
      <c r="A36" s="563"/>
      <c r="B36" s="564"/>
      <c r="C36" s="559"/>
      <c r="D36" s="556"/>
      <c r="E36" s="556"/>
      <c r="F36" s="556"/>
      <c r="G36" s="556"/>
      <c r="H36" s="556"/>
      <c r="I36" s="556"/>
      <c r="J36" s="556"/>
      <c r="K36" s="556"/>
      <c r="L36" s="559"/>
    </row>
    <row r="37" spans="1:12" ht="20.25" customHeight="1">
      <c r="A37" s="563"/>
      <c r="B37" s="564"/>
      <c r="C37" s="559"/>
      <c r="D37" s="556"/>
      <c r="E37" s="556"/>
      <c r="F37" s="556"/>
      <c r="G37" s="556"/>
      <c r="H37" s="556"/>
      <c r="I37" s="556"/>
      <c r="J37" s="556"/>
      <c r="K37" s="556"/>
      <c r="L37" s="559"/>
    </row>
    <row r="38" spans="1:12" ht="20.25" customHeight="1">
      <c r="A38" s="563"/>
      <c r="B38" s="564"/>
      <c r="C38" s="559"/>
      <c r="D38" s="556"/>
      <c r="E38" s="556"/>
      <c r="F38" s="556"/>
      <c r="G38" s="556"/>
      <c r="H38" s="556"/>
      <c r="I38" s="556"/>
      <c r="J38" s="556"/>
      <c r="K38" s="556"/>
      <c r="L38" s="559"/>
    </row>
    <row r="39" spans="1:12" ht="20.25" customHeight="1">
      <c r="A39" s="563"/>
      <c r="B39" s="564"/>
      <c r="C39" s="559"/>
      <c r="D39" s="556"/>
      <c r="E39" s="556"/>
      <c r="F39" s="556"/>
      <c r="G39" s="556"/>
      <c r="H39" s="556"/>
      <c r="I39" s="556"/>
      <c r="J39" s="556"/>
      <c r="K39" s="556"/>
      <c r="L39" s="559"/>
    </row>
    <row r="40" spans="1:12" ht="20.25" customHeight="1">
      <c r="A40" s="563"/>
      <c r="B40" s="564"/>
      <c r="C40" s="559"/>
      <c r="D40" s="556"/>
      <c r="E40" s="556"/>
      <c r="F40" s="556"/>
      <c r="G40" s="556"/>
      <c r="H40" s="556"/>
      <c r="I40" s="556"/>
      <c r="J40" s="556"/>
      <c r="K40" s="556"/>
      <c r="L40" s="559"/>
    </row>
    <row r="41" spans="1:12" ht="20.25" customHeight="1">
      <c r="A41" s="563"/>
      <c r="B41" s="564"/>
      <c r="C41" s="559"/>
      <c r="D41" s="556"/>
      <c r="E41" s="556"/>
      <c r="F41" s="556"/>
      <c r="G41" s="556"/>
      <c r="H41" s="556"/>
      <c r="I41" s="556"/>
      <c r="J41" s="556"/>
      <c r="K41" s="556"/>
      <c r="L41" s="559"/>
    </row>
    <row r="42" spans="1:12" ht="20.25" customHeight="1">
      <c r="A42" s="563"/>
      <c r="B42" s="564"/>
      <c r="C42" s="559"/>
      <c r="D42" s="556" t="s">
        <v>1867</v>
      </c>
      <c r="E42" s="556"/>
      <c r="F42" s="556"/>
      <c r="G42" s="556"/>
      <c r="H42" s="556"/>
      <c r="I42" s="556"/>
      <c r="J42" s="556"/>
      <c r="K42" s="556"/>
      <c r="L42" s="559"/>
    </row>
    <row r="43" spans="1:12" ht="20.25" customHeight="1">
      <c r="A43" s="563"/>
      <c r="B43" s="564"/>
      <c r="C43" s="559"/>
      <c r="D43" s="556"/>
      <c r="E43" s="556"/>
      <c r="F43" s="556"/>
      <c r="G43" s="556"/>
      <c r="H43" s="556"/>
      <c r="I43" s="556"/>
      <c r="J43" s="556"/>
      <c r="K43" s="556"/>
      <c r="L43" s="559"/>
    </row>
    <row r="44" spans="1:12" ht="20.25" customHeight="1">
      <c r="A44" s="563"/>
      <c r="B44" s="564"/>
      <c r="C44" s="559"/>
      <c r="D44" s="556"/>
      <c r="E44" s="556"/>
      <c r="F44" s="556"/>
      <c r="G44" s="556"/>
      <c r="H44" s="556"/>
      <c r="I44" s="556"/>
      <c r="J44" s="556"/>
      <c r="K44" s="556"/>
      <c r="L44" s="559"/>
    </row>
    <row r="45" spans="1:12" ht="20.25" customHeight="1">
      <c r="A45" s="563"/>
      <c r="B45" s="564"/>
      <c r="C45" s="559"/>
      <c r="D45" s="556"/>
      <c r="E45" s="556"/>
      <c r="F45" s="556"/>
      <c r="G45" s="556"/>
      <c r="H45" s="556"/>
      <c r="I45" s="556"/>
      <c r="J45" s="556"/>
      <c r="K45" s="556"/>
      <c r="L45" s="559"/>
    </row>
    <row r="46" spans="1:12" ht="20.25" customHeight="1">
      <c r="A46" s="563"/>
      <c r="B46" s="564"/>
      <c r="C46" s="559"/>
      <c r="D46" s="556"/>
      <c r="E46" s="556"/>
      <c r="F46" s="556"/>
      <c r="G46" s="556"/>
      <c r="H46" s="556"/>
      <c r="I46" s="556"/>
      <c r="J46" s="556"/>
      <c r="K46" s="556"/>
      <c r="L46" s="559"/>
    </row>
    <row r="47" spans="1:12" ht="20.25" customHeight="1">
      <c r="A47" s="563"/>
      <c r="B47" s="564"/>
      <c r="C47" s="559"/>
      <c r="D47" s="556"/>
      <c r="E47" s="556"/>
      <c r="F47" s="556"/>
      <c r="G47" s="556"/>
      <c r="H47" s="556"/>
      <c r="I47" s="556"/>
      <c r="J47" s="556"/>
      <c r="K47" s="556"/>
      <c r="L47" s="559"/>
    </row>
    <row r="48" spans="1:12" ht="20.25" customHeight="1">
      <c r="A48" s="563"/>
      <c r="B48" s="564"/>
      <c r="C48" s="559"/>
      <c r="D48" s="556"/>
      <c r="E48" s="556"/>
      <c r="F48" s="556"/>
      <c r="G48" s="556"/>
      <c r="H48" s="556"/>
      <c r="I48" s="556"/>
      <c r="J48" s="556"/>
      <c r="K48" s="556"/>
      <c r="L48" s="559"/>
    </row>
  </sheetData>
  <mergeCells count="10">
    <mergeCell ref="I1:J1"/>
    <mergeCell ref="K1:K2"/>
    <mergeCell ref="L1:L2"/>
    <mergeCell ref="A6:B6"/>
    <mergeCell ref="A1:A2"/>
    <mergeCell ref="B1:B2"/>
    <mergeCell ref="C1:C2"/>
    <mergeCell ref="D1:D2"/>
    <mergeCell ref="E1:F1"/>
    <mergeCell ref="G1:H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  <rowBreaks count="1" manualBreakCount="1">
    <brk id="2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2"/>
  <sheetViews>
    <sheetView showGridLines="0" showZeros="0" view="pageBreakPreview" workbookViewId="0">
      <selection activeCell="B14" activeCellId="1" sqref="F16 B14:B16"/>
    </sheetView>
  </sheetViews>
  <sheetFormatPr defaultRowHeight="14.25"/>
  <cols>
    <col min="1" max="1" width="8.77734375" style="65" customWidth="1"/>
    <col min="2" max="2" width="19.77734375" style="65" customWidth="1"/>
    <col min="3" max="3" width="17.77734375" style="66" customWidth="1"/>
    <col min="4" max="4" width="4.44140625" style="67" customWidth="1"/>
    <col min="5" max="5" width="5.77734375" style="66" customWidth="1"/>
    <col min="6" max="12" width="9.77734375" style="68" customWidth="1"/>
    <col min="13" max="13" width="7.77734375" style="69" customWidth="1"/>
    <col min="14" max="17" width="8.88671875" style="46"/>
    <col min="18" max="18" width="0" style="46" hidden="1" customWidth="1"/>
    <col min="19" max="19" width="10.6640625" style="46" bestFit="1" customWidth="1"/>
    <col min="20" max="16384" width="8.88671875" style="46"/>
  </cols>
  <sheetData>
    <row r="1" spans="1:20" s="45" customFormat="1" ht="21.95" customHeight="1">
      <c r="A1" s="457"/>
      <c r="B1" s="457" t="str">
        <f>원가계산!A2</f>
        <v xml:space="preserve"> ■ 공사명 : 두류지하도상가 비상발전기 설치 전기공사</v>
      </c>
      <c r="C1" s="38"/>
      <c r="D1" s="39"/>
      <c r="E1" s="40"/>
      <c r="F1" s="41"/>
      <c r="G1" s="42"/>
      <c r="H1" s="42"/>
      <c r="I1" s="42"/>
      <c r="J1" s="43"/>
      <c r="K1" s="42"/>
      <c r="L1" s="42"/>
      <c r="M1" s="44"/>
    </row>
    <row r="2" spans="1:20" ht="21.95" customHeight="1">
      <c r="A2" s="622" t="s">
        <v>813</v>
      </c>
      <c r="B2" s="622" t="s">
        <v>814</v>
      </c>
      <c r="C2" s="622" t="s">
        <v>815</v>
      </c>
      <c r="D2" s="622" t="s">
        <v>317</v>
      </c>
      <c r="E2" s="622" t="s">
        <v>337</v>
      </c>
      <c r="F2" s="624" t="s">
        <v>816</v>
      </c>
      <c r="G2" s="625"/>
      <c r="H2" s="624" t="s">
        <v>817</v>
      </c>
      <c r="I2" s="625"/>
      <c r="J2" s="624" t="s">
        <v>818</v>
      </c>
      <c r="K2" s="625"/>
      <c r="L2" s="626" t="s">
        <v>819</v>
      </c>
      <c r="M2" s="622" t="s">
        <v>475</v>
      </c>
      <c r="P2" s="47"/>
      <c r="Q2" s="47"/>
      <c r="R2" s="48"/>
      <c r="S2" s="49"/>
      <c r="T2" s="49"/>
    </row>
    <row r="3" spans="1:20" ht="21.95" customHeight="1">
      <c r="A3" s="623"/>
      <c r="B3" s="623"/>
      <c r="C3" s="623"/>
      <c r="D3" s="623"/>
      <c r="E3" s="623"/>
      <c r="F3" s="50" t="s">
        <v>820</v>
      </c>
      <c r="G3" s="50" t="s">
        <v>821</v>
      </c>
      <c r="H3" s="50" t="s">
        <v>820</v>
      </c>
      <c r="I3" s="50" t="s">
        <v>821</v>
      </c>
      <c r="J3" s="50" t="s">
        <v>820</v>
      </c>
      <c r="K3" s="50" t="s">
        <v>821</v>
      </c>
      <c r="L3" s="627"/>
      <c r="M3" s="623"/>
      <c r="P3" s="47"/>
      <c r="Q3" s="51"/>
      <c r="R3" s="48"/>
      <c r="S3" s="49"/>
      <c r="T3" s="49"/>
    </row>
    <row r="4" spans="1:20" s="45" customFormat="1" ht="21.95" customHeight="1">
      <c r="A4" s="458"/>
      <c r="B4" s="458" t="s">
        <v>822</v>
      </c>
      <c r="C4" s="52"/>
      <c r="D4" s="53"/>
      <c r="E4" s="54"/>
      <c r="F4" s="55"/>
      <c r="G4" s="55"/>
      <c r="H4" s="56"/>
      <c r="I4" s="56" t="str">
        <f>IF(INT(E4*G4)=0," ",INT(E4*G4))</f>
        <v xml:space="preserve"> </v>
      </c>
      <c r="J4" s="56"/>
      <c r="K4" s="56"/>
      <c r="L4" s="56"/>
      <c r="M4" s="57"/>
      <c r="P4" s="47"/>
      <c r="Q4" s="47"/>
      <c r="R4" s="48"/>
      <c r="S4" s="49"/>
      <c r="T4" s="49"/>
    </row>
    <row r="5" spans="1:20" s="45" customFormat="1" ht="21.95" customHeight="1">
      <c r="A5" s="58">
        <v>1</v>
      </c>
      <c r="B5" s="59" t="str">
        <f>전기일위!B5</f>
        <v>전선관지지행거 설치</v>
      </c>
      <c r="C5" s="59" t="str">
        <f>전기일위!C5</f>
        <v>28C</v>
      </c>
      <c r="D5" s="60" t="str">
        <f>전기일위!D5</f>
        <v>개소</v>
      </c>
      <c r="E5" s="61">
        <v>1</v>
      </c>
      <c r="F5" s="402"/>
      <c r="G5" s="29">
        <f>전기일위!G11</f>
        <v>1753</v>
      </c>
      <c r="H5" s="402"/>
      <c r="I5" s="29">
        <f>전기일위!I11</f>
        <v>9852</v>
      </c>
      <c r="J5" s="402"/>
      <c r="K5" s="29">
        <f>전기일위!K11</f>
        <v>0</v>
      </c>
      <c r="L5" s="475">
        <f t="shared" ref="L5:L21" si="0">SUM(G5,I5,K5)</f>
        <v>11605</v>
      </c>
      <c r="M5" s="21"/>
      <c r="N5" s="62"/>
      <c r="P5" s="47"/>
      <c r="Q5" s="47"/>
      <c r="R5" s="48"/>
      <c r="S5" s="49"/>
      <c r="T5" s="49"/>
    </row>
    <row r="6" spans="1:20" s="45" customFormat="1" ht="21.95" customHeight="1">
      <c r="A6" s="58">
        <f>A5+1</f>
        <v>2</v>
      </c>
      <c r="B6" s="59" t="str">
        <f>전기일위!B13</f>
        <v>전선관지지행거 설치</v>
      </c>
      <c r="C6" s="59" t="str">
        <f>전기일위!C13</f>
        <v>70C</v>
      </c>
      <c r="D6" s="60" t="str">
        <f>전기일위!D13</f>
        <v>개소</v>
      </c>
      <c r="E6" s="61">
        <v>1</v>
      </c>
      <c r="F6" s="402"/>
      <c r="G6" s="29">
        <f>전기일위!G19</f>
        <v>2041</v>
      </c>
      <c r="H6" s="402"/>
      <c r="I6" s="29">
        <f>전기일위!I19</f>
        <v>9852</v>
      </c>
      <c r="J6" s="402"/>
      <c r="K6" s="29">
        <f>전기일위!K19</f>
        <v>0</v>
      </c>
      <c r="L6" s="475">
        <f t="shared" si="0"/>
        <v>11893</v>
      </c>
      <c r="M6" s="21"/>
      <c r="N6" s="62"/>
      <c r="P6" s="47"/>
      <c r="Q6" s="47"/>
      <c r="R6" s="48"/>
      <c r="S6" s="49"/>
      <c r="T6" s="49"/>
    </row>
    <row r="7" spans="1:20" s="45" customFormat="1" ht="21.95" customHeight="1">
      <c r="A7" s="58">
        <f t="shared" ref="A7:A8" si="1">A6+1</f>
        <v>3</v>
      </c>
      <c r="B7" s="59" t="str">
        <f>전기일위!B21</f>
        <v>전선관지지행거 설치</v>
      </c>
      <c r="C7" s="59" t="str">
        <f>전기일위!C21</f>
        <v>82C</v>
      </c>
      <c r="D7" s="60" t="str">
        <f>전기일위!D21</f>
        <v>개소</v>
      </c>
      <c r="E7" s="61">
        <v>1</v>
      </c>
      <c r="F7" s="402"/>
      <c r="G7" s="29">
        <f>전기일위!G27</f>
        <v>2492</v>
      </c>
      <c r="H7" s="402"/>
      <c r="I7" s="29">
        <f>전기일위!I27</f>
        <v>9852</v>
      </c>
      <c r="J7" s="402"/>
      <c r="K7" s="29">
        <f>전기일위!K28</f>
        <v>0</v>
      </c>
      <c r="L7" s="475">
        <f t="shared" si="0"/>
        <v>12344</v>
      </c>
      <c r="M7" s="21"/>
      <c r="N7" s="62"/>
      <c r="P7" s="47"/>
      <c r="Q7" s="47"/>
      <c r="R7" s="48"/>
      <c r="S7" s="49"/>
      <c r="T7" s="49"/>
    </row>
    <row r="8" spans="1:20" s="45" customFormat="1" ht="21.95" customHeight="1">
      <c r="A8" s="58">
        <f t="shared" si="1"/>
        <v>4</v>
      </c>
      <c r="B8" s="59" t="str">
        <f>전기일위!B29</f>
        <v>전선관지지행거 설치</v>
      </c>
      <c r="C8" s="59" t="str">
        <f>전기일위!C29</f>
        <v>104C</v>
      </c>
      <c r="D8" s="60" t="str">
        <f>전기일위!D29</f>
        <v>개소</v>
      </c>
      <c r="E8" s="61">
        <v>1</v>
      </c>
      <c r="F8" s="402"/>
      <c r="G8" s="29">
        <f>전기일위!G35</f>
        <v>2680</v>
      </c>
      <c r="H8" s="402"/>
      <c r="I8" s="29">
        <f>전기일위!I35</f>
        <v>9852</v>
      </c>
      <c r="J8" s="402"/>
      <c r="K8" s="29">
        <f>전기일위!K29</f>
        <v>0</v>
      </c>
      <c r="L8" s="475">
        <f t="shared" ref="L8:L9" si="2">SUM(G8,I8,K8)</f>
        <v>12532</v>
      </c>
      <c r="M8" s="21"/>
      <c r="N8" s="62"/>
      <c r="P8" s="47"/>
      <c r="Q8" s="47"/>
      <c r="R8" s="48"/>
      <c r="S8" s="49"/>
      <c r="T8" s="49"/>
    </row>
    <row r="9" spans="1:20" s="45" customFormat="1" ht="21.95" customHeight="1">
      <c r="A9" s="58">
        <f>A8+1</f>
        <v>5</v>
      </c>
      <c r="B9" s="59" t="str">
        <f>전기일위!B37</f>
        <v>케이블트레이지지대  설치</v>
      </c>
      <c r="C9" s="59" t="str">
        <f>전기일위!C37</f>
        <v>W300</v>
      </c>
      <c r="D9" s="60" t="str">
        <f>전기일위!D37</f>
        <v>개소</v>
      </c>
      <c r="E9" s="61">
        <v>1</v>
      </c>
      <c r="F9" s="402"/>
      <c r="G9" s="29">
        <f>전기일위!G43</f>
        <v>3857</v>
      </c>
      <c r="H9" s="402"/>
      <c r="I9" s="29">
        <f>전기일위!I43</f>
        <v>19704</v>
      </c>
      <c r="J9" s="402"/>
      <c r="K9" s="29"/>
      <c r="L9" s="475">
        <f t="shared" si="2"/>
        <v>23561</v>
      </c>
      <c r="M9" s="21"/>
      <c r="N9" s="62"/>
      <c r="P9" s="47"/>
      <c r="Q9" s="47"/>
      <c r="R9" s="48"/>
      <c r="S9" s="49"/>
      <c r="T9" s="49"/>
    </row>
    <row r="10" spans="1:20" s="45" customFormat="1" ht="21.95" customHeight="1">
      <c r="A10" s="58"/>
      <c r="B10" s="59"/>
      <c r="C10" s="59"/>
      <c r="D10" s="60"/>
      <c r="E10" s="61"/>
      <c r="F10" s="402"/>
      <c r="G10" s="29"/>
      <c r="H10" s="402"/>
      <c r="I10" s="29"/>
      <c r="J10" s="402"/>
      <c r="K10" s="29"/>
      <c r="L10" s="475"/>
      <c r="M10" s="21"/>
      <c r="N10" s="62"/>
      <c r="P10" s="47"/>
      <c r="Q10" s="47"/>
      <c r="R10" s="48"/>
      <c r="S10" s="49"/>
      <c r="T10" s="49"/>
    </row>
    <row r="11" spans="1:20" s="45" customFormat="1" ht="21.95" customHeight="1">
      <c r="A11" s="58"/>
      <c r="B11" s="59"/>
      <c r="C11" s="59"/>
      <c r="D11" s="60"/>
      <c r="E11" s="61"/>
      <c r="F11" s="402"/>
      <c r="G11" s="29"/>
      <c r="H11" s="402"/>
      <c r="I11" s="29"/>
      <c r="J11" s="402"/>
      <c r="K11" s="29"/>
      <c r="L11" s="475"/>
      <c r="M11" s="21"/>
      <c r="N11" s="62"/>
      <c r="P11" s="47"/>
      <c r="Q11" s="47"/>
      <c r="R11" s="48"/>
      <c r="S11" s="49"/>
      <c r="T11" s="49"/>
    </row>
    <row r="12" spans="1:20" s="45" customFormat="1" ht="21.95" customHeight="1">
      <c r="A12" s="58"/>
      <c r="B12" s="508"/>
      <c r="C12" s="508"/>
      <c r="D12" s="60"/>
      <c r="E12" s="61"/>
      <c r="F12" s="402"/>
      <c r="G12" s="29"/>
      <c r="H12" s="402"/>
      <c r="I12" s="29"/>
      <c r="J12" s="402"/>
      <c r="K12" s="29"/>
      <c r="L12" s="475"/>
      <c r="M12" s="21"/>
      <c r="N12" s="62"/>
      <c r="P12" s="47"/>
      <c r="Q12" s="47"/>
      <c r="R12" s="48"/>
      <c r="S12" s="49"/>
      <c r="T12" s="49"/>
    </row>
    <row r="13" spans="1:20" s="45" customFormat="1" ht="21.95" customHeight="1">
      <c r="A13" s="58"/>
      <c r="B13" s="508"/>
      <c r="C13" s="508"/>
      <c r="D13" s="60"/>
      <c r="E13" s="61"/>
      <c r="F13" s="402"/>
      <c r="G13" s="29"/>
      <c r="H13" s="402"/>
      <c r="I13" s="29"/>
      <c r="J13" s="402"/>
      <c r="K13" s="29"/>
      <c r="L13" s="475"/>
      <c r="M13" s="21"/>
      <c r="N13" s="62"/>
      <c r="P13" s="47"/>
      <c r="Q13" s="47"/>
      <c r="R13" s="48"/>
      <c r="S13" s="49"/>
      <c r="T13" s="49"/>
    </row>
    <row r="14" spans="1:20" s="45" customFormat="1" ht="21.95" customHeight="1">
      <c r="A14" s="58"/>
      <c r="B14" s="508"/>
      <c r="C14" s="508"/>
      <c r="D14" s="60"/>
      <c r="E14" s="61"/>
      <c r="F14" s="402"/>
      <c r="G14" s="29"/>
      <c r="H14" s="402"/>
      <c r="I14" s="29"/>
      <c r="J14" s="402"/>
      <c r="K14" s="29"/>
      <c r="L14" s="475"/>
      <c r="M14" s="21"/>
      <c r="N14" s="62"/>
      <c r="P14" s="47"/>
      <c r="Q14" s="47"/>
      <c r="R14" s="48"/>
      <c r="S14" s="49"/>
      <c r="T14" s="49"/>
    </row>
    <row r="15" spans="1:20" s="45" customFormat="1" ht="21.95" customHeight="1">
      <c r="A15" s="58"/>
      <c r="B15" s="508"/>
      <c r="C15" s="508"/>
      <c r="D15" s="60"/>
      <c r="E15" s="61"/>
      <c r="F15" s="402"/>
      <c r="G15" s="29"/>
      <c r="H15" s="402"/>
      <c r="I15" s="29"/>
      <c r="J15" s="402"/>
      <c r="K15" s="29"/>
      <c r="L15" s="475"/>
      <c r="M15" s="21"/>
      <c r="N15" s="62"/>
      <c r="P15" s="47"/>
      <c r="Q15" s="47"/>
      <c r="R15" s="48"/>
      <c r="S15" s="49"/>
      <c r="T15" s="49"/>
    </row>
    <row r="16" spans="1:20" s="45" customFormat="1" ht="21.95" customHeight="1">
      <c r="A16" s="58"/>
      <c r="B16" s="508"/>
      <c r="C16" s="508"/>
      <c r="D16" s="60"/>
      <c r="E16" s="61"/>
      <c r="F16" s="402"/>
      <c r="G16" s="29"/>
      <c r="H16" s="402"/>
      <c r="I16" s="29"/>
      <c r="J16" s="402"/>
      <c r="K16" s="29"/>
      <c r="L16" s="475"/>
      <c r="M16" s="21"/>
      <c r="N16" s="62"/>
      <c r="P16" s="47"/>
      <c r="Q16" s="47"/>
      <c r="R16" s="48"/>
      <c r="S16" s="49"/>
      <c r="T16" s="49"/>
    </row>
    <row r="17" spans="1:20" s="45" customFormat="1" ht="21.95" customHeight="1">
      <c r="A17" s="58"/>
      <c r="B17" s="508"/>
      <c r="C17" s="508"/>
      <c r="D17" s="60"/>
      <c r="E17" s="61"/>
      <c r="F17" s="402"/>
      <c r="G17" s="29"/>
      <c r="H17" s="402"/>
      <c r="I17" s="29"/>
      <c r="J17" s="402"/>
      <c r="K17" s="29"/>
      <c r="L17" s="475"/>
      <c r="M17" s="21"/>
      <c r="N17" s="62"/>
      <c r="P17" s="47"/>
      <c r="Q17" s="47"/>
      <c r="R17" s="48"/>
      <c r="S17" s="49"/>
      <c r="T17" s="49"/>
    </row>
    <row r="18" spans="1:20" s="45" customFormat="1" ht="21.95" customHeight="1">
      <c r="A18" s="58"/>
      <c r="B18" s="508"/>
      <c r="C18" s="508"/>
      <c r="D18" s="60"/>
      <c r="E18" s="61"/>
      <c r="F18" s="402"/>
      <c r="G18" s="29"/>
      <c r="H18" s="402"/>
      <c r="I18" s="29"/>
      <c r="J18" s="402"/>
      <c r="K18" s="29"/>
      <c r="L18" s="475"/>
      <c r="M18" s="21"/>
      <c r="N18" s="62"/>
      <c r="P18" s="47"/>
      <c r="Q18" s="47"/>
      <c r="R18" s="48"/>
      <c r="S18" s="49"/>
      <c r="T18" s="49"/>
    </row>
    <row r="19" spans="1:20" s="45" customFormat="1" ht="21.95" customHeight="1">
      <c r="A19" s="58"/>
      <c r="B19" s="508"/>
      <c r="C19" s="508"/>
      <c r="D19" s="60"/>
      <c r="E19" s="61"/>
      <c r="F19" s="402"/>
      <c r="G19" s="29"/>
      <c r="H19" s="402"/>
      <c r="I19" s="29"/>
      <c r="J19" s="402"/>
      <c r="K19" s="29"/>
      <c r="L19" s="475"/>
      <c r="M19" s="21"/>
      <c r="N19" s="62"/>
      <c r="P19" s="47"/>
      <c r="Q19" s="47"/>
      <c r="R19" s="48"/>
      <c r="S19" s="49"/>
      <c r="T19" s="49"/>
    </row>
    <row r="20" spans="1:20" s="45" customFormat="1" ht="21.95" customHeight="1">
      <c r="A20" s="58"/>
      <c r="B20" s="508"/>
      <c r="C20" s="508"/>
      <c r="D20" s="60"/>
      <c r="E20" s="61"/>
      <c r="F20" s="402"/>
      <c r="G20" s="29"/>
      <c r="H20" s="402"/>
      <c r="I20" s="29"/>
      <c r="J20" s="402"/>
      <c r="K20" s="29"/>
      <c r="L20" s="475">
        <f t="shared" si="0"/>
        <v>0</v>
      </c>
      <c r="M20" s="21"/>
      <c r="N20" s="62"/>
      <c r="P20" s="47"/>
      <c r="Q20" s="47"/>
      <c r="R20" s="48"/>
      <c r="S20" s="49"/>
      <c r="T20" s="49"/>
    </row>
    <row r="21" spans="1:20" s="45" customFormat="1" ht="21.95" customHeight="1">
      <c r="A21" s="58"/>
      <c r="B21" s="508"/>
      <c r="C21" s="508"/>
      <c r="D21" s="60"/>
      <c r="E21" s="61"/>
      <c r="F21" s="402"/>
      <c r="G21" s="29"/>
      <c r="H21" s="402"/>
      <c r="I21" s="29"/>
      <c r="J21" s="402"/>
      <c r="K21" s="29"/>
      <c r="L21" s="475">
        <f t="shared" si="0"/>
        <v>0</v>
      </c>
      <c r="M21" s="21"/>
      <c r="N21" s="62"/>
      <c r="P21" s="47"/>
      <c r="Q21" s="47"/>
      <c r="R21" s="48"/>
      <c r="S21" s="49"/>
      <c r="T21" s="49"/>
    </row>
    <row r="22" spans="1:20" s="45" customFormat="1" ht="21.95" customHeight="1">
      <c r="A22" s="58"/>
      <c r="B22" s="508"/>
      <c r="C22" s="508"/>
      <c r="D22" s="60"/>
      <c r="E22" s="61"/>
      <c r="F22" s="402"/>
      <c r="G22" s="29"/>
      <c r="H22" s="402"/>
      <c r="I22" s="29"/>
      <c r="J22" s="402"/>
      <c r="K22" s="29"/>
      <c r="L22" s="475">
        <f t="shared" ref="L22" si="3">SUM(G22,I22,K22)</f>
        <v>0</v>
      </c>
      <c r="M22" s="21"/>
      <c r="N22" s="62"/>
      <c r="P22" s="47"/>
      <c r="Q22" s="47"/>
      <c r="R22" s="48"/>
      <c r="S22" s="49"/>
      <c r="T22" s="49"/>
    </row>
  </sheetData>
  <mergeCells count="10">
    <mergeCell ref="A2:A3"/>
    <mergeCell ref="M2:M3"/>
    <mergeCell ref="F2:G2"/>
    <mergeCell ref="H2:I2"/>
    <mergeCell ref="J2:K2"/>
    <mergeCell ref="L2:L3"/>
    <mergeCell ref="B2:B3"/>
    <mergeCell ref="C2:C3"/>
    <mergeCell ref="D2:D3"/>
    <mergeCell ref="E2:E3"/>
  </mergeCells>
  <phoneticPr fontId="3" type="noConversion"/>
  <printOptions horizontalCentered="1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&amp;C&amp;"굴림체,굵게"&amp;18일  위  대  가  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Q64"/>
  <sheetViews>
    <sheetView showGridLines="0" showZeros="0" view="pageBreakPreview" topLeftCell="A49" workbookViewId="0">
      <selection activeCell="I11" sqref="I11"/>
    </sheetView>
  </sheetViews>
  <sheetFormatPr defaultRowHeight="11.25"/>
  <cols>
    <col min="1" max="1" width="8.77734375" style="464" customWidth="1"/>
    <col min="2" max="2" width="19.77734375" style="465" customWidth="1"/>
    <col min="3" max="3" width="19.77734375" style="466" customWidth="1"/>
    <col min="4" max="4" width="4.44140625" style="467" customWidth="1"/>
    <col min="5" max="5" width="5.77734375" style="468" customWidth="1"/>
    <col min="6" max="12" width="9.77734375" style="469" customWidth="1"/>
    <col min="13" max="13" width="7.77734375" style="470" customWidth="1"/>
    <col min="14" max="16384" width="8.88671875" style="45"/>
  </cols>
  <sheetData>
    <row r="1" spans="1:17" ht="21.95" customHeight="1">
      <c r="A1" s="457" t="str">
        <f>일위집계!B1</f>
        <v xml:space="preserve"> ■ 공사명 : 두류지하도상가 비상발전기 설치 전기공사</v>
      </c>
      <c r="B1" s="462"/>
      <c r="C1" s="70"/>
      <c r="D1" s="39"/>
      <c r="E1" s="40"/>
      <c r="F1" s="41"/>
      <c r="G1" s="42"/>
      <c r="H1" s="42"/>
      <c r="I1" s="42"/>
      <c r="J1" s="43"/>
      <c r="K1" s="42"/>
      <c r="L1" s="42"/>
      <c r="M1" s="44"/>
    </row>
    <row r="2" spans="1:17" ht="21.95" customHeight="1">
      <c r="A2" s="628" t="s">
        <v>281</v>
      </c>
      <c r="B2" s="628" t="s">
        <v>479</v>
      </c>
      <c r="C2" s="631" t="s">
        <v>480</v>
      </c>
      <c r="D2" s="628" t="s">
        <v>317</v>
      </c>
      <c r="E2" s="628" t="s">
        <v>337</v>
      </c>
      <c r="F2" s="629" t="s">
        <v>369</v>
      </c>
      <c r="G2" s="629"/>
      <c r="H2" s="629" t="s">
        <v>370</v>
      </c>
      <c r="I2" s="629"/>
      <c r="J2" s="629" t="s">
        <v>483</v>
      </c>
      <c r="K2" s="629"/>
      <c r="L2" s="630" t="s">
        <v>484</v>
      </c>
      <c r="M2" s="628" t="s">
        <v>475</v>
      </c>
      <c r="N2" s="47"/>
      <c r="O2" s="279"/>
      <c r="P2" s="463"/>
      <c r="Q2" s="463"/>
    </row>
    <row r="3" spans="1:17" ht="21.95" customHeight="1">
      <c r="A3" s="628"/>
      <c r="B3" s="628"/>
      <c r="C3" s="631"/>
      <c r="D3" s="628"/>
      <c r="E3" s="628"/>
      <c r="F3" s="402" t="s">
        <v>485</v>
      </c>
      <c r="G3" s="402" t="s">
        <v>486</v>
      </c>
      <c r="H3" s="402" t="s">
        <v>485</v>
      </c>
      <c r="I3" s="402" t="s">
        <v>486</v>
      </c>
      <c r="J3" s="402" t="s">
        <v>485</v>
      </c>
      <c r="K3" s="402" t="s">
        <v>486</v>
      </c>
      <c r="L3" s="630"/>
      <c r="M3" s="628"/>
      <c r="N3" s="51"/>
      <c r="O3" s="279"/>
      <c r="P3" s="463"/>
      <c r="Q3" s="463"/>
    </row>
    <row r="4" spans="1:17" ht="21.95" customHeight="1">
      <c r="A4" s="58"/>
      <c r="B4" s="459"/>
      <c r="C4" s="460"/>
      <c r="D4" s="461"/>
      <c r="E4" s="61"/>
      <c r="F4" s="475"/>
      <c r="G4" s="475"/>
      <c r="H4" s="475"/>
      <c r="I4" s="475"/>
      <c r="J4" s="475"/>
      <c r="K4" s="475"/>
      <c r="L4" s="64"/>
      <c r="M4" s="24"/>
    </row>
    <row r="5" spans="1:17" ht="21.95" customHeight="1">
      <c r="A5" s="58">
        <f>1</f>
        <v>1</v>
      </c>
      <c r="B5" s="338" t="s">
        <v>1825</v>
      </c>
      <c r="C5" s="74" t="s">
        <v>1388</v>
      </c>
      <c r="D5" s="71" t="s">
        <v>594</v>
      </c>
      <c r="E5" s="61"/>
      <c r="F5" s="475"/>
      <c r="G5" s="475"/>
      <c r="H5" s="475"/>
      <c r="I5" s="475"/>
      <c r="J5" s="475"/>
      <c r="K5" s="475"/>
      <c r="L5" s="64"/>
      <c r="M5" s="24"/>
    </row>
    <row r="6" spans="1:17" ht="21.95" customHeight="1">
      <c r="A6" s="58"/>
      <c r="B6" s="110" t="s">
        <v>116</v>
      </c>
      <c r="C6" s="110" t="s">
        <v>513</v>
      </c>
      <c r="D6" s="275" t="s">
        <v>823</v>
      </c>
      <c r="E6" s="22">
        <v>1</v>
      </c>
      <c r="F6" s="18">
        <f>VLOOKUP($B6&amp;$C6,단가!$C$3:$L$1965,3,FALSE)</f>
        <v>1205</v>
      </c>
      <c r="G6" s="475">
        <f>INT(F6*E6)</f>
        <v>1205</v>
      </c>
      <c r="H6" s="18"/>
      <c r="I6" s="475">
        <f>INT(H6*E6)</f>
        <v>0</v>
      </c>
      <c r="J6" s="475"/>
      <c r="K6" s="475">
        <f>INT($J6*E6)</f>
        <v>0</v>
      </c>
      <c r="L6" s="64">
        <f t="shared" ref="L6:L9" si="0">SUM(G6,I6,K6)</f>
        <v>1205</v>
      </c>
      <c r="M6" s="24"/>
    </row>
    <row r="7" spans="1:17" ht="21.95" customHeight="1">
      <c r="A7" s="58"/>
      <c r="B7" s="110" t="s">
        <v>871</v>
      </c>
      <c r="C7" s="110" t="s">
        <v>872</v>
      </c>
      <c r="D7" s="275" t="s">
        <v>823</v>
      </c>
      <c r="E7" s="22">
        <v>1</v>
      </c>
      <c r="F7" s="18">
        <f>VLOOKUP($B7&amp;$C7,단가!$C$3:$L$1965,3,FALSE)</f>
        <v>200</v>
      </c>
      <c r="G7" s="475">
        <f>INT(F7*E7)</f>
        <v>200</v>
      </c>
      <c r="H7" s="18"/>
      <c r="I7" s="475"/>
      <c r="J7" s="475"/>
      <c r="K7" s="475"/>
      <c r="L7" s="64">
        <f t="shared" si="0"/>
        <v>200</v>
      </c>
      <c r="M7" s="24"/>
    </row>
    <row r="8" spans="1:17" ht="21.95" customHeight="1">
      <c r="A8" s="58"/>
      <c r="B8" s="110" t="s">
        <v>530</v>
      </c>
      <c r="C8" s="74" t="s">
        <v>1388</v>
      </c>
      <c r="D8" s="275" t="s">
        <v>823</v>
      </c>
      <c r="E8" s="22">
        <v>1</v>
      </c>
      <c r="F8" s="18">
        <f>VLOOKUP($B8&amp;$C8,단가!$C$3:$L$1965,3,FALSE)</f>
        <v>348</v>
      </c>
      <c r="G8" s="475">
        <f>INT(F8*E8)</f>
        <v>348</v>
      </c>
      <c r="H8" s="18"/>
      <c r="I8" s="475">
        <f>INT(H8*E8)</f>
        <v>0</v>
      </c>
      <c r="J8" s="475"/>
      <c r="K8" s="475">
        <f>INT($J8*E8)</f>
        <v>0</v>
      </c>
      <c r="L8" s="64">
        <f t="shared" si="0"/>
        <v>348</v>
      </c>
      <c r="M8" s="24"/>
    </row>
    <row r="9" spans="1:17" ht="21.95" customHeight="1">
      <c r="A9" s="58"/>
      <c r="B9" s="73" t="s">
        <v>113</v>
      </c>
      <c r="C9" s="74" t="s">
        <v>824</v>
      </c>
      <c r="D9" s="71" t="s">
        <v>114</v>
      </c>
      <c r="E9" s="22">
        <v>3.5999999999999997E-2</v>
      </c>
      <c r="F9" s="18"/>
      <c r="G9" s="475"/>
      <c r="H9" s="18">
        <f>VLOOKUP($B9&amp;$C9,단가!$C$3:$L$1965,3,FALSE)</f>
        <v>273676</v>
      </c>
      <c r="I9" s="475">
        <f>INT(H9*E9)</f>
        <v>9852</v>
      </c>
      <c r="J9" s="475"/>
      <c r="K9" s="475">
        <f>INT($J9*E9)</f>
        <v>0</v>
      </c>
      <c r="L9" s="64">
        <f t="shared" si="0"/>
        <v>9852</v>
      </c>
      <c r="M9" s="24" t="s">
        <v>1837</v>
      </c>
    </row>
    <row r="10" spans="1:17" ht="21.95" customHeight="1">
      <c r="A10" s="58"/>
      <c r="B10" s="272"/>
      <c r="C10" s="273"/>
      <c r="D10" s="71"/>
      <c r="E10" s="22"/>
      <c r="F10" s="475"/>
      <c r="G10" s="475"/>
      <c r="H10" s="475"/>
      <c r="I10" s="475"/>
      <c r="J10" s="475"/>
      <c r="K10" s="475"/>
      <c r="L10" s="64">
        <f t="shared" ref="L10:L11" si="1">SUM(G10,I10,K10)</f>
        <v>0</v>
      </c>
      <c r="M10" s="24"/>
    </row>
    <row r="11" spans="1:17" ht="21.95" customHeight="1">
      <c r="A11" s="58"/>
      <c r="B11" s="459" t="s">
        <v>476</v>
      </c>
      <c r="C11" s="460" t="s">
        <v>477</v>
      </c>
      <c r="D11" s="461" t="s">
        <v>477</v>
      </c>
      <c r="E11" s="61" t="s">
        <v>477</v>
      </c>
      <c r="F11" s="475" t="s">
        <v>477</v>
      </c>
      <c r="G11" s="475">
        <f>SUM(G6:G10)</f>
        <v>1753</v>
      </c>
      <c r="H11" s="475" t="s">
        <v>477</v>
      </c>
      <c r="I11" s="475">
        <f>SUM(I6:I10)</f>
        <v>9852</v>
      </c>
      <c r="J11" s="475" t="s">
        <v>477</v>
      </c>
      <c r="K11" s="475">
        <f>SUM(K6:K10)</f>
        <v>0</v>
      </c>
      <c r="L11" s="64">
        <f t="shared" si="1"/>
        <v>11605</v>
      </c>
      <c r="M11" s="24"/>
    </row>
    <row r="12" spans="1:17" ht="21.95" customHeight="1">
      <c r="A12" s="58"/>
      <c r="B12" s="459"/>
      <c r="C12" s="460"/>
      <c r="D12" s="461"/>
      <c r="E12" s="61"/>
      <c r="F12" s="475"/>
      <c r="G12" s="475"/>
      <c r="H12" s="475"/>
      <c r="I12" s="475"/>
      <c r="J12" s="475"/>
      <c r="K12" s="475"/>
      <c r="L12" s="64"/>
      <c r="M12" s="24"/>
    </row>
    <row r="13" spans="1:17" ht="21.95" customHeight="1">
      <c r="A13" s="58">
        <f>A5+1</f>
        <v>2</v>
      </c>
      <c r="B13" s="338" t="s">
        <v>1825</v>
      </c>
      <c r="C13" s="74" t="s">
        <v>1733</v>
      </c>
      <c r="D13" s="71" t="s">
        <v>594</v>
      </c>
      <c r="E13" s="61"/>
      <c r="F13" s="475"/>
      <c r="G13" s="475"/>
      <c r="H13" s="475"/>
      <c r="I13" s="475"/>
      <c r="J13" s="475"/>
      <c r="K13" s="475"/>
      <c r="L13" s="64"/>
      <c r="M13" s="24"/>
    </row>
    <row r="14" spans="1:17" ht="21.95" customHeight="1">
      <c r="A14" s="58"/>
      <c r="B14" s="110" t="s">
        <v>116</v>
      </c>
      <c r="C14" s="110" t="s">
        <v>513</v>
      </c>
      <c r="D14" s="275" t="s">
        <v>823</v>
      </c>
      <c r="E14" s="22">
        <v>1</v>
      </c>
      <c r="F14" s="18">
        <f>VLOOKUP($B14&amp;$C14,단가!$C$3:$L$1965,3,FALSE)</f>
        <v>1205</v>
      </c>
      <c r="G14" s="475">
        <f>INT(F14*E14)</f>
        <v>1205</v>
      </c>
      <c r="H14" s="18"/>
      <c r="I14" s="475">
        <f>INT(H14*E14)</f>
        <v>0</v>
      </c>
      <c r="J14" s="475"/>
      <c r="K14" s="475">
        <f>INT($J14*E14)</f>
        <v>0</v>
      </c>
      <c r="L14" s="64">
        <f t="shared" ref="L14:L17" si="2">SUM(G14,I14,K14)</f>
        <v>1205</v>
      </c>
      <c r="M14" s="24"/>
    </row>
    <row r="15" spans="1:17" ht="21.95" customHeight="1">
      <c r="A15" s="58"/>
      <c r="B15" s="110" t="s">
        <v>871</v>
      </c>
      <c r="C15" s="110" t="s">
        <v>872</v>
      </c>
      <c r="D15" s="275" t="s">
        <v>823</v>
      </c>
      <c r="E15" s="22">
        <v>1</v>
      </c>
      <c r="F15" s="18">
        <f>VLOOKUP($B15&amp;$C15,단가!$C$3:$L$1965,3,FALSE)</f>
        <v>200</v>
      </c>
      <c r="G15" s="475">
        <f>INT(F15*E15)</f>
        <v>200</v>
      </c>
      <c r="H15" s="18"/>
      <c r="I15" s="475"/>
      <c r="J15" s="475"/>
      <c r="K15" s="475"/>
      <c r="L15" s="64">
        <f t="shared" si="2"/>
        <v>200</v>
      </c>
      <c r="M15" s="24"/>
    </row>
    <row r="16" spans="1:17" ht="21.95" customHeight="1">
      <c r="A16" s="58"/>
      <c r="B16" s="110" t="s">
        <v>530</v>
      </c>
      <c r="C16" s="74" t="s">
        <v>1733</v>
      </c>
      <c r="D16" s="275" t="s">
        <v>823</v>
      </c>
      <c r="E16" s="22">
        <v>1</v>
      </c>
      <c r="F16" s="18">
        <f>VLOOKUP($B16&amp;$C16,단가!$C$3:$L$1965,3,FALSE)</f>
        <v>636</v>
      </c>
      <c r="G16" s="475">
        <f>INT(F16*E16)</f>
        <v>636</v>
      </c>
      <c r="H16" s="18"/>
      <c r="I16" s="475">
        <f>INT(H16*E16)</f>
        <v>0</v>
      </c>
      <c r="J16" s="475"/>
      <c r="K16" s="475">
        <f>INT($J16*E16)</f>
        <v>0</v>
      </c>
      <c r="L16" s="64">
        <f t="shared" si="2"/>
        <v>636</v>
      </c>
      <c r="M16" s="24"/>
    </row>
    <row r="17" spans="1:13" ht="21.95" customHeight="1">
      <c r="A17" s="58"/>
      <c r="B17" s="73" t="s">
        <v>113</v>
      </c>
      <c r="C17" s="74" t="s">
        <v>824</v>
      </c>
      <c r="D17" s="71" t="s">
        <v>114</v>
      </c>
      <c r="E17" s="22">
        <v>3.5999999999999997E-2</v>
      </c>
      <c r="F17" s="18"/>
      <c r="G17" s="475"/>
      <c r="H17" s="18">
        <f>VLOOKUP($B17&amp;$C17,단가!$C$3:$L$1965,3,FALSE)</f>
        <v>273676</v>
      </c>
      <c r="I17" s="475">
        <f>INT(H17*E17)</f>
        <v>9852</v>
      </c>
      <c r="J17" s="475"/>
      <c r="K17" s="475">
        <f>INT($J17*E17)</f>
        <v>0</v>
      </c>
      <c r="L17" s="64">
        <f t="shared" si="2"/>
        <v>9852</v>
      </c>
      <c r="M17" s="24" t="s">
        <v>1837</v>
      </c>
    </row>
    <row r="18" spans="1:13" ht="21.95" customHeight="1">
      <c r="A18" s="58"/>
      <c r="B18" s="272"/>
      <c r="C18" s="273"/>
      <c r="D18" s="71"/>
      <c r="E18" s="22"/>
      <c r="F18" s="475"/>
      <c r="G18" s="475"/>
      <c r="H18" s="475"/>
      <c r="I18" s="475"/>
      <c r="J18" s="475"/>
      <c r="K18" s="475"/>
      <c r="L18" s="64">
        <f>SUM(G18,I18,K18)</f>
        <v>0</v>
      </c>
      <c r="M18" s="24"/>
    </row>
    <row r="19" spans="1:13" ht="21.95" customHeight="1">
      <c r="A19" s="58"/>
      <c r="B19" s="459" t="s">
        <v>476</v>
      </c>
      <c r="C19" s="460" t="s">
        <v>477</v>
      </c>
      <c r="D19" s="461" t="s">
        <v>477</v>
      </c>
      <c r="E19" s="61" t="s">
        <v>477</v>
      </c>
      <c r="F19" s="475" t="s">
        <v>477</v>
      </c>
      <c r="G19" s="475">
        <f>SUM(G14:G18)</f>
        <v>2041</v>
      </c>
      <c r="H19" s="475" t="s">
        <v>477</v>
      </c>
      <c r="I19" s="475">
        <f>SUM(I14:I18)</f>
        <v>9852</v>
      </c>
      <c r="J19" s="475" t="s">
        <v>477</v>
      </c>
      <c r="K19" s="475">
        <f>SUM(K14:K18)</f>
        <v>0</v>
      </c>
      <c r="L19" s="64">
        <f>SUM(G19,I19,K19)</f>
        <v>11893</v>
      </c>
      <c r="M19" s="24"/>
    </row>
    <row r="20" spans="1:13" ht="21.95" customHeight="1">
      <c r="A20" s="58"/>
      <c r="B20" s="459"/>
      <c r="C20" s="460"/>
      <c r="D20" s="461"/>
      <c r="E20" s="61"/>
      <c r="F20" s="475"/>
      <c r="G20" s="475"/>
      <c r="H20" s="475"/>
      <c r="I20" s="475"/>
      <c r="J20" s="475"/>
      <c r="K20" s="475"/>
      <c r="L20" s="64"/>
      <c r="M20" s="24"/>
    </row>
    <row r="21" spans="1:13" ht="21.95" customHeight="1">
      <c r="A21" s="58">
        <f>A13+1</f>
        <v>3</v>
      </c>
      <c r="B21" s="338" t="s">
        <v>1825</v>
      </c>
      <c r="C21" s="74" t="s">
        <v>1809</v>
      </c>
      <c r="D21" s="71" t="s">
        <v>594</v>
      </c>
      <c r="E21" s="61"/>
      <c r="F21" s="475"/>
      <c r="G21" s="475"/>
      <c r="H21" s="475"/>
      <c r="I21" s="475"/>
      <c r="J21" s="475"/>
      <c r="K21" s="475"/>
      <c r="L21" s="64"/>
      <c r="M21" s="24"/>
    </row>
    <row r="22" spans="1:13" ht="21.95" customHeight="1">
      <c r="A22" s="58"/>
      <c r="B22" s="110" t="s">
        <v>116</v>
      </c>
      <c r="C22" s="110" t="s">
        <v>513</v>
      </c>
      <c r="D22" s="275" t="s">
        <v>823</v>
      </c>
      <c r="E22" s="22">
        <v>1</v>
      </c>
      <c r="F22" s="18">
        <f>VLOOKUP($B22&amp;$C22,단가!$C$3:$L$1965,3,FALSE)</f>
        <v>1205</v>
      </c>
      <c r="G22" s="475">
        <f>INT(F22*E22)</f>
        <v>1205</v>
      </c>
      <c r="H22" s="18"/>
      <c r="I22" s="475">
        <f>INT(H22*E22)</f>
        <v>0</v>
      </c>
      <c r="J22" s="475"/>
      <c r="K22" s="475">
        <f>INT($J22*E22)</f>
        <v>0</v>
      </c>
      <c r="L22" s="64">
        <f t="shared" ref="L22:L25" si="3">SUM(G22,I22,K22)</f>
        <v>1205</v>
      </c>
      <c r="M22" s="24"/>
    </row>
    <row r="23" spans="1:13" ht="21.95" customHeight="1">
      <c r="A23" s="58"/>
      <c r="B23" s="110" t="s">
        <v>871</v>
      </c>
      <c r="C23" s="110" t="s">
        <v>872</v>
      </c>
      <c r="D23" s="275" t="s">
        <v>823</v>
      </c>
      <c r="E23" s="22">
        <v>1</v>
      </c>
      <c r="F23" s="18">
        <f>VLOOKUP($B23&amp;$C23,단가!$C$3:$L$1965,3,FALSE)</f>
        <v>200</v>
      </c>
      <c r="G23" s="475">
        <f>INT(F23*E23)</f>
        <v>200</v>
      </c>
      <c r="H23" s="18"/>
      <c r="I23" s="475"/>
      <c r="J23" s="475"/>
      <c r="K23" s="475"/>
      <c r="L23" s="64">
        <f t="shared" si="3"/>
        <v>200</v>
      </c>
      <c r="M23" s="24"/>
    </row>
    <row r="24" spans="1:13" ht="21.95" customHeight="1">
      <c r="A24" s="58"/>
      <c r="B24" s="110" t="s">
        <v>530</v>
      </c>
      <c r="C24" s="74" t="str">
        <f>C21</f>
        <v>82C</v>
      </c>
      <c r="D24" s="275" t="s">
        <v>823</v>
      </c>
      <c r="E24" s="22">
        <v>1</v>
      </c>
      <c r="F24" s="18">
        <f>VLOOKUP($B24&amp;$C24,단가!$C$3:$L$1965,3,FALSE)</f>
        <v>1087</v>
      </c>
      <c r="G24" s="475">
        <f>INT(F24*E24)</f>
        <v>1087</v>
      </c>
      <c r="H24" s="18"/>
      <c r="I24" s="475">
        <f>INT(H24*E24)</f>
        <v>0</v>
      </c>
      <c r="J24" s="475"/>
      <c r="K24" s="475">
        <f>INT($J24*E24)</f>
        <v>0</v>
      </c>
      <c r="L24" s="64">
        <f t="shared" si="3"/>
        <v>1087</v>
      </c>
      <c r="M24" s="24"/>
    </row>
    <row r="25" spans="1:13" ht="21.95" customHeight="1">
      <c r="A25" s="58"/>
      <c r="B25" s="73" t="s">
        <v>113</v>
      </c>
      <c r="C25" s="74" t="s">
        <v>824</v>
      </c>
      <c r="D25" s="71" t="s">
        <v>114</v>
      </c>
      <c r="E25" s="22">
        <v>3.5999999999999997E-2</v>
      </c>
      <c r="F25" s="18"/>
      <c r="G25" s="475"/>
      <c r="H25" s="18">
        <f>VLOOKUP($B25&amp;$C25,단가!$C$3:$L$1965,3,FALSE)</f>
        <v>273676</v>
      </c>
      <c r="I25" s="475">
        <f>INT(H25*E25)</f>
        <v>9852</v>
      </c>
      <c r="J25" s="475"/>
      <c r="K25" s="475">
        <f>INT($J25*E25)</f>
        <v>0</v>
      </c>
      <c r="L25" s="64">
        <f t="shared" si="3"/>
        <v>9852</v>
      </c>
      <c r="M25" s="24" t="s">
        <v>1837</v>
      </c>
    </row>
    <row r="26" spans="1:13" ht="21.95" customHeight="1">
      <c r="A26" s="58"/>
      <c r="B26" s="272"/>
      <c r="C26" s="273"/>
      <c r="D26" s="71"/>
      <c r="E26" s="22"/>
      <c r="F26" s="475"/>
      <c r="G26" s="475"/>
      <c r="H26" s="475"/>
      <c r="I26" s="475"/>
      <c r="J26" s="475"/>
      <c r="K26" s="475"/>
      <c r="L26" s="64">
        <f>SUM(G26,I26,K26)</f>
        <v>0</v>
      </c>
      <c r="M26" s="24"/>
    </row>
    <row r="27" spans="1:13" ht="21.95" customHeight="1">
      <c r="A27" s="58"/>
      <c r="B27" s="459" t="s">
        <v>476</v>
      </c>
      <c r="C27" s="460" t="s">
        <v>477</v>
      </c>
      <c r="D27" s="461" t="s">
        <v>477</v>
      </c>
      <c r="E27" s="61" t="s">
        <v>477</v>
      </c>
      <c r="F27" s="475" t="s">
        <v>477</v>
      </c>
      <c r="G27" s="475">
        <f>SUM(G22:G26)</f>
        <v>2492</v>
      </c>
      <c r="H27" s="475" t="s">
        <v>477</v>
      </c>
      <c r="I27" s="475">
        <f>SUM(I22:I26)</f>
        <v>9852</v>
      </c>
      <c r="J27" s="475" t="s">
        <v>477</v>
      </c>
      <c r="K27" s="475">
        <f>SUM(K22:K26)</f>
        <v>0</v>
      </c>
      <c r="L27" s="64">
        <f>SUM(G27,I27,K27)</f>
        <v>12344</v>
      </c>
      <c r="M27" s="24"/>
    </row>
    <row r="28" spans="1:13" ht="21.95" customHeight="1">
      <c r="A28" s="58"/>
      <c r="B28" s="459"/>
      <c r="C28" s="460"/>
      <c r="D28" s="461"/>
      <c r="E28" s="61"/>
      <c r="F28" s="475"/>
      <c r="G28" s="475"/>
      <c r="H28" s="475"/>
      <c r="I28" s="475"/>
      <c r="J28" s="475"/>
      <c r="K28" s="475"/>
      <c r="L28" s="64"/>
      <c r="M28" s="24"/>
    </row>
    <row r="29" spans="1:13" ht="21.95" customHeight="1">
      <c r="A29" s="58">
        <f>A21+1</f>
        <v>4</v>
      </c>
      <c r="B29" s="338" t="s">
        <v>1825</v>
      </c>
      <c r="C29" s="74" t="s">
        <v>1701</v>
      </c>
      <c r="D29" s="71" t="s">
        <v>594</v>
      </c>
      <c r="E29" s="61"/>
      <c r="F29" s="475"/>
      <c r="G29" s="475"/>
      <c r="H29" s="475"/>
      <c r="I29" s="475"/>
      <c r="J29" s="475"/>
      <c r="K29" s="475"/>
      <c r="L29" s="64"/>
      <c r="M29" s="24"/>
    </row>
    <row r="30" spans="1:13" ht="21.95" customHeight="1">
      <c r="A30" s="58"/>
      <c r="B30" s="110" t="s">
        <v>116</v>
      </c>
      <c r="C30" s="110" t="s">
        <v>513</v>
      </c>
      <c r="D30" s="275" t="s">
        <v>823</v>
      </c>
      <c r="E30" s="22">
        <v>1</v>
      </c>
      <c r="F30" s="18">
        <f>VLOOKUP($B30&amp;$C30,단가!$C$3:$L$1965,3,FALSE)</f>
        <v>1205</v>
      </c>
      <c r="G30" s="475">
        <f>INT(F30*E30)</f>
        <v>1205</v>
      </c>
      <c r="H30" s="18"/>
      <c r="I30" s="475">
        <f>INT(H30*E30)</f>
        <v>0</v>
      </c>
      <c r="J30" s="475"/>
      <c r="K30" s="475">
        <f>INT($J30*E30)</f>
        <v>0</v>
      </c>
      <c r="L30" s="64">
        <f t="shared" ref="L30:L33" si="4">SUM(G30,I30,K30)</f>
        <v>1205</v>
      </c>
      <c r="M30" s="24"/>
    </row>
    <row r="31" spans="1:13" ht="21.95" customHeight="1">
      <c r="A31" s="58"/>
      <c r="B31" s="110" t="s">
        <v>871</v>
      </c>
      <c r="C31" s="110" t="s">
        <v>872</v>
      </c>
      <c r="D31" s="275" t="s">
        <v>823</v>
      </c>
      <c r="E31" s="22">
        <v>1</v>
      </c>
      <c r="F31" s="18">
        <f>VLOOKUP($B31&amp;$C31,단가!$C$3:$L$1965,3,FALSE)</f>
        <v>200</v>
      </c>
      <c r="G31" s="475">
        <f>INT(F31*E31)</f>
        <v>200</v>
      </c>
      <c r="H31" s="18"/>
      <c r="I31" s="475"/>
      <c r="J31" s="475"/>
      <c r="K31" s="475"/>
      <c r="L31" s="64">
        <f t="shared" si="4"/>
        <v>200</v>
      </c>
      <c r="M31" s="24"/>
    </row>
    <row r="32" spans="1:13" ht="21.95" customHeight="1">
      <c r="A32" s="58"/>
      <c r="B32" s="110" t="s">
        <v>530</v>
      </c>
      <c r="C32" s="74" t="s">
        <v>1702</v>
      </c>
      <c r="D32" s="275" t="s">
        <v>823</v>
      </c>
      <c r="E32" s="22">
        <v>1</v>
      </c>
      <c r="F32" s="18">
        <f>VLOOKUP($B32&amp;$C32,단가!$C$3:$L$1965,3,FALSE)</f>
        <v>1275</v>
      </c>
      <c r="G32" s="475">
        <f>INT(F32*E32)</f>
        <v>1275</v>
      </c>
      <c r="H32" s="18"/>
      <c r="I32" s="475">
        <f>INT(H32*E32)</f>
        <v>0</v>
      </c>
      <c r="J32" s="475"/>
      <c r="K32" s="475">
        <f>INT($J32*E32)</f>
        <v>0</v>
      </c>
      <c r="L32" s="64">
        <f t="shared" si="4"/>
        <v>1275</v>
      </c>
      <c r="M32" s="24"/>
    </row>
    <row r="33" spans="1:13" ht="21.95" customHeight="1">
      <c r="A33" s="58"/>
      <c r="B33" s="73" t="s">
        <v>113</v>
      </c>
      <c r="C33" s="74" t="s">
        <v>824</v>
      </c>
      <c r="D33" s="71" t="s">
        <v>114</v>
      </c>
      <c r="E33" s="22">
        <v>3.5999999999999997E-2</v>
      </c>
      <c r="F33" s="18"/>
      <c r="G33" s="475"/>
      <c r="H33" s="18">
        <f>VLOOKUP($B33&amp;$C33,단가!$C$3:$L$1965,3,FALSE)</f>
        <v>273676</v>
      </c>
      <c r="I33" s="475">
        <f>INT(H33*E33)</f>
        <v>9852</v>
      </c>
      <c r="J33" s="475"/>
      <c r="K33" s="475">
        <f>INT($J33*E33)</f>
        <v>0</v>
      </c>
      <c r="L33" s="64">
        <f t="shared" si="4"/>
        <v>9852</v>
      </c>
      <c r="M33" s="24" t="s">
        <v>1837</v>
      </c>
    </row>
    <row r="34" spans="1:13" ht="21.95" customHeight="1">
      <c r="A34" s="58"/>
      <c r="B34" s="272"/>
      <c r="C34" s="273"/>
      <c r="D34" s="71"/>
      <c r="E34" s="22"/>
      <c r="F34" s="475"/>
      <c r="G34" s="475"/>
      <c r="H34" s="475"/>
      <c r="I34" s="475"/>
      <c r="J34" s="475"/>
      <c r="K34" s="475"/>
      <c r="L34" s="64">
        <f>SUM(G34,I34,K34)</f>
        <v>0</v>
      </c>
      <c r="M34" s="24"/>
    </row>
    <row r="35" spans="1:13" ht="21.95" customHeight="1">
      <c r="A35" s="58"/>
      <c r="B35" s="459" t="s">
        <v>476</v>
      </c>
      <c r="C35" s="460" t="s">
        <v>477</v>
      </c>
      <c r="D35" s="461" t="s">
        <v>477</v>
      </c>
      <c r="E35" s="61" t="s">
        <v>477</v>
      </c>
      <c r="F35" s="475" t="s">
        <v>477</v>
      </c>
      <c r="G35" s="475">
        <f>SUM(G30:G34)</f>
        <v>2680</v>
      </c>
      <c r="H35" s="475" t="s">
        <v>477</v>
      </c>
      <c r="I35" s="475">
        <f>SUM(I30:I34)</f>
        <v>9852</v>
      </c>
      <c r="J35" s="475" t="s">
        <v>477</v>
      </c>
      <c r="K35" s="475">
        <f>SUM(K30:K34)</f>
        <v>0</v>
      </c>
      <c r="L35" s="64">
        <f>SUM(G35,I35,K35)</f>
        <v>12532</v>
      </c>
      <c r="M35" s="24"/>
    </row>
    <row r="36" spans="1:13" ht="21.95" customHeight="1">
      <c r="A36" s="58"/>
      <c r="B36" s="459"/>
      <c r="C36" s="460"/>
      <c r="D36" s="461"/>
      <c r="E36" s="61"/>
      <c r="F36" s="475"/>
      <c r="G36" s="475"/>
      <c r="H36" s="475"/>
      <c r="I36" s="475"/>
      <c r="J36" s="475"/>
      <c r="K36" s="475"/>
      <c r="L36" s="64"/>
      <c r="M36" s="24"/>
    </row>
    <row r="37" spans="1:13" ht="21.95" customHeight="1">
      <c r="A37" s="58">
        <f>A29+1</f>
        <v>5</v>
      </c>
      <c r="B37" s="338" t="s">
        <v>1831</v>
      </c>
      <c r="C37" s="74" t="s">
        <v>1832</v>
      </c>
      <c r="D37" s="71" t="s">
        <v>594</v>
      </c>
      <c r="E37" s="61"/>
      <c r="F37" s="475"/>
      <c r="G37" s="475"/>
      <c r="H37" s="475"/>
      <c r="I37" s="475"/>
      <c r="J37" s="475"/>
      <c r="K37" s="475"/>
      <c r="L37" s="64"/>
      <c r="M37" s="24"/>
    </row>
    <row r="38" spans="1:13" ht="21.95" customHeight="1">
      <c r="A38" s="58"/>
      <c r="B38" s="110" t="s">
        <v>1833</v>
      </c>
      <c r="C38" s="110" t="s">
        <v>513</v>
      </c>
      <c r="D38" s="275" t="s">
        <v>419</v>
      </c>
      <c r="E38" s="22">
        <v>2</v>
      </c>
      <c r="F38" s="18">
        <f>VLOOKUP($B38&amp;$C38,단가!$C$3:$L$1965,3,FALSE)</f>
        <v>1205</v>
      </c>
      <c r="G38" s="475">
        <f>INT(F38*E38)</f>
        <v>2410</v>
      </c>
      <c r="H38" s="18"/>
      <c r="I38" s="475">
        <f>INT(H38*E38)</f>
        <v>0</v>
      </c>
      <c r="J38" s="475"/>
      <c r="K38" s="475">
        <f>INT($J38*E38)</f>
        <v>0</v>
      </c>
      <c r="L38" s="64">
        <f t="shared" ref="L38:L41" si="5">SUM(G38,I38,K38)</f>
        <v>2410</v>
      </c>
      <c r="M38" s="24"/>
    </row>
    <row r="39" spans="1:13" ht="21.95" customHeight="1">
      <c r="A39" s="58"/>
      <c r="B39" s="110" t="s">
        <v>1834</v>
      </c>
      <c r="C39" s="110" t="s">
        <v>1835</v>
      </c>
      <c r="D39" s="275" t="s">
        <v>419</v>
      </c>
      <c r="E39" s="22">
        <v>2</v>
      </c>
      <c r="F39" s="18">
        <f>VLOOKUP($B39&amp;$C39,단가!$C$3:$L$1965,3,FALSE)</f>
        <v>200</v>
      </c>
      <c r="G39" s="475">
        <f>INT(F39*E39)</f>
        <v>400</v>
      </c>
      <c r="H39" s="18"/>
      <c r="I39" s="475"/>
      <c r="J39" s="475"/>
      <c r="K39" s="475"/>
      <c r="L39" s="64">
        <f t="shared" si="5"/>
        <v>400</v>
      </c>
      <c r="M39" s="24"/>
    </row>
    <row r="40" spans="1:13" ht="21.95" customHeight="1">
      <c r="A40" s="58"/>
      <c r="B40" s="110" t="s">
        <v>565</v>
      </c>
      <c r="C40" s="74" t="s">
        <v>836</v>
      </c>
      <c r="D40" s="275" t="s">
        <v>407</v>
      </c>
      <c r="E40" s="22">
        <v>0.4</v>
      </c>
      <c r="F40" s="18">
        <f>VLOOKUP($B40&amp;$C40,단가!$C$3:$L$1965,3,FALSE)</f>
        <v>2618</v>
      </c>
      <c r="G40" s="475">
        <f>INT(F40*E40)</f>
        <v>1047</v>
      </c>
      <c r="H40" s="18"/>
      <c r="I40" s="475">
        <f>INT(H40*E40)</f>
        <v>0</v>
      </c>
      <c r="J40" s="475"/>
      <c r="K40" s="475">
        <f>INT($J40*E40)</f>
        <v>0</v>
      </c>
      <c r="L40" s="64">
        <f t="shared" si="5"/>
        <v>1047</v>
      </c>
      <c r="M40" s="24"/>
    </row>
    <row r="41" spans="1:13" ht="21.95" customHeight="1">
      <c r="A41" s="58"/>
      <c r="B41" s="73" t="s">
        <v>472</v>
      </c>
      <c r="C41" s="74" t="s">
        <v>478</v>
      </c>
      <c r="D41" s="71" t="s">
        <v>473</v>
      </c>
      <c r="E41" s="22">
        <v>7.1999999999999995E-2</v>
      </c>
      <c r="F41" s="18"/>
      <c r="G41" s="475"/>
      <c r="H41" s="18">
        <f>VLOOKUP($B41&amp;$C41,단가!$C$3:$L$1965,3,FALSE)</f>
        <v>273676</v>
      </c>
      <c r="I41" s="475">
        <f>INT(H41*E41)</f>
        <v>19704</v>
      </c>
      <c r="J41" s="475"/>
      <c r="K41" s="475">
        <f>INT($J41*E41)</f>
        <v>0</v>
      </c>
      <c r="L41" s="64">
        <f t="shared" si="5"/>
        <v>19704</v>
      </c>
      <c r="M41" s="24" t="s">
        <v>1837</v>
      </c>
    </row>
    <row r="42" spans="1:13" ht="21.95" customHeight="1">
      <c r="A42" s="58"/>
      <c r="B42" s="272"/>
      <c r="C42" s="273"/>
      <c r="D42" s="71"/>
      <c r="E42" s="22"/>
      <c r="F42" s="475"/>
      <c r="G42" s="475"/>
      <c r="H42" s="475"/>
      <c r="I42" s="475"/>
      <c r="J42" s="475"/>
      <c r="K42" s="475"/>
      <c r="L42" s="64">
        <f>SUM(G42,I42,K42)</f>
        <v>0</v>
      </c>
      <c r="M42" s="24"/>
    </row>
    <row r="43" spans="1:13" ht="21.95" customHeight="1">
      <c r="A43" s="58"/>
      <c r="B43" s="459" t="s">
        <v>476</v>
      </c>
      <c r="C43" s="460" t="s">
        <v>477</v>
      </c>
      <c r="D43" s="461" t="s">
        <v>477</v>
      </c>
      <c r="E43" s="61" t="s">
        <v>477</v>
      </c>
      <c r="F43" s="475" t="s">
        <v>477</v>
      </c>
      <c r="G43" s="475">
        <f>SUM(G38:G42)</f>
        <v>3857</v>
      </c>
      <c r="H43" s="475" t="s">
        <v>477</v>
      </c>
      <c r="I43" s="475">
        <f>SUM(I38:I42)</f>
        <v>19704</v>
      </c>
      <c r="J43" s="475" t="s">
        <v>477</v>
      </c>
      <c r="K43" s="475">
        <f>SUM(K38:K42)</f>
        <v>0</v>
      </c>
      <c r="L43" s="64">
        <f>SUM(G43,I43,K43)</f>
        <v>23561</v>
      </c>
      <c r="M43" s="24"/>
    </row>
    <row r="44" spans="1:13" ht="21.95" customHeight="1">
      <c r="A44" s="58"/>
      <c r="B44" s="338"/>
      <c r="C44" s="74"/>
      <c r="D44" s="71"/>
      <c r="E44" s="61"/>
      <c r="F44" s="475"/>
      <c r="G44" s="475"/>
      <c r="H44" s="475"/>
      <c r="I44" s="475"/>
      <c r="J44" s="475"/>
      <c r="K44" s="475"/>
      <c r="L44" s="64"/>
      <c r="M44" s="24"/>
    </row>
    <row r="45" spans="1:13" ht="21.95" customHeight="1">
      <c r="A45" s="58"/>
      <c r="B45" s="110"/>
      <c r="C45" s="110"/>
      <c r="D45" s="275"/>
      <c r="E45" s="22"/>
      <c r="F45" s="18"/>
      <c r="G45" s="475"/>
      <c r="H45" s="18"/>
      <c r="I45" s="475"/>
      <c r="J45" s="475"/>
      <c r="K45" s="475"/>
      <c r="L45" s="64"/>
      <c r="M45" s="24"/>
    </row>
    <row r="46" spans="1:13" ht="21.95" customHeight="1">
      <c r="A46" s="58"/>
      <c r="B46" s="110"/>
      <c r="C46" s="110"/>
      <c r="D46" s="275"/>
      <c r="E46" s="22"/>
      <c r="F46" s="18"/>
      <c r="G46" s="475"/>
      <c r="H46" s="18"/>
      <c r="I46" s="475"/>
      <c r="J46" s="475"/>
      <c r="K46" s="475"/>
      <c r="L46" s="64"/>
      <c r="M46" s="24"/>
    </row>
    <row r="47" spans="1:13" ht="21.95" customHeight="1">
      <c r="A47" s="58"/>
      <c r="B47" s="110"/>
      <c r="C47" s="110"/>
      <c r="D47" s="275"/>
      <c r="E47" s="22"/>
      <c r="F47" s="18"/>
      <c r="G47" s="475"/>
      <c r="H47" s="18"/>
      <c r="I47" s="475"/>
      <c r="J47" s="475"/>
      <c r="K47" s="475"/>
      <c r="L47" s="64"/>
      <c r="M47" s="24"/>
    </row>
    <row r="48" spans="1:13" ht="21.95" customHeight="1">
      <c r="A48" s="58"/>
      <c r="B48" s="73"/>
      <c r="C48" s="74"/>
      <c r="D48" s="71"/>
      <c r="E48" s="22"/>
      <c r="F48" s="18"/>
      <c r="G48" s="475"/>
      <c r="H48" s="18"/>
      <c r="I48" s="475"/>
      <c r="J48" s="475"/>
      <c r="K48" s="475"/>
      <c r="L48" s="64"/>
      <c r="M48" s="24"/>
    </row>
    <row r="49" spans="1:13" ht="21.95" customHeight="1">
      <c r="A49" s="58"/>
      <c r="B49" s="338"/>
      <c r="C49" s="74"/>
      <c r="D49" s="71"/>
      <c r="E49" s="61"/>
      <c r="F49" s="475"/>
      <c r="G49" s="475"/>
      <c r="H49" s="475"/>
      <c r="I49" s="475"/>
      <c r="J49" s="475"/>
      <c r="K49" s="475"/>
      <c r="L49" s="64"/>
      <c r="M49" s="24"/>
    </row>
    <row r="50" spans="1:13" ht="21.95" customHeight="1">
      <c r="A50" s="58"/>
      <c r="B50" s="110"/>
      <c r="C50" s="110"/>
      <c r="D50" s="275"/>
      <c r="E50" s="22"/>
      <c r="F50" s="18"/>
      <c r="G50" s="475"/>
      <c r="H50" s="18"/>
      <c r="I50" s="475"/>
      <c r="J50" s="475"/>
      <c r="K50" s="475"/>
      <c r="L50" s="64"/>
      <c r="M50" s="24"/>
    </row>
    <row r="51" spans="1:13" ht="21.95" customHeight="1">
      <c r="A51" s="58"/>
      <c r="B51" s="110"/>
      <c r="C51" s="110"/>
      <c r="D51" s="275"/>
      <c r="E51" s="22"/>
      <c r="F51" s="18"/>
      <c r="G51" s="475"/>
      <c r="H51" s="18"/>
      <c r="I51" s="475"/>
      <c r="J51" s="475"/>
      <c r="K51" s="475"/>
      <c r="L51" s="64"/>
      <c r="M51" s="24"/>
    </row>
    <row r="52" spans="1:13" ht="21.95" customHeight="1">
      <c r="A52" s="58"/>
      <c r="B52" s="110"/>
      <c r="C52" s="110"/>
      <c r="D52" s="275"/>
      <c r="E52" s="22"/>
      <c r="F52" s="18"/>
      <c r="G52" s="475"/>
      <c r="H52" s="18"/>
      <c r="I52" s="475"/>
      <c r="J52" s="475"/>
      <c r="K52" s="475"/>
      <c r="L52" s="64"/>
      <c r="M52" s="24"/>
    </row>
    <row r="53" spans="1:13" ht="21.95" customHeight="1">
      <c r="A53" s="58"/>
      <c r="B53" s="73"/>
      <c r="C53" s="74"/>
      <c r="D53" s="71"/>
      <c r="E53" s="22"/>
      <c r="F53" s="18"/>
      <c r="G53" s="475"/>
      <c r="H53" s="18"/>
      <c r="I53" s="475"/>
      <c r="J53" s="475"/>
      <c r="K53" s="475"/>
      <c r="L53" s="64"/>
      <c r="M53" s="24"/>
    </row>
    <row r="54" spans="1:13" ht="21.95" customHeight="1">
      <c r="A54" s="58"/>
      <c r="B54" s="338"/>
      <c r="C54" s="74"/>
      <c r="D54" s="71"/>
      <c r="E54" s="61"/>
      <c r="F54" s="475"/>
      <c r="G54" s="475"/>
      <c r="H54" s="475"/>
      <c r="I54" s="475"/>
      <c r="J54" s="475"/>
      <c r="K54" s="475"/>
      <c r="L54" s="64"/>
      <c r="M54" s="24"/>
    </row>
    <row r="55" spans="1:13" ht="21.95" customHeight="1">
      <c r="A55" s="58"/>
      <c r="B55" s="110"/>
      <c r="C55" s="110"/>
      <c r="D55" s="275"/>
      <c r="E55" s="22"/>
      <c r="F55" s="18"/>
      <c r="G55" s="475"/>
      <c r="H55" s="18"/>
      <c r="I55" s="475"/>
      <c r="J55" s="475"/>
      <c r="K55" s="475"/>
      <c r="L55" s="64"/>
      <c r="M55" s="24"/>
    </row>
    <row r="56" spans="1:13" ht="21.95" customHeight="1">
      <c r="A56" s="58"/>
      <c r="B56" s="110"/>
      <c r="C56" s="110"/>
      <c r="D56" s="275"/>
      <c r="E56" s="22"/>
      <c r="F56" s="18"/>
      <c r="G56" s="475"/>
      <c r="H56" s="18"/>
      <c r="I56" s="475"/>
      <c r="J56" s="475"/>
      <c r="K56" s="475"/>
      <c r="L56" s="64"/>
      <c r="M56" s="24"/>
    </row>
    <row r="57" spans="1:13" ht="21.95" customHeight="1">
      <c r="A57" s="58"/>
      <c r="B57" s="110"/>
      <c r="C57" s="110"/>
      <c r="D57" s="275"/>
      <c r="E57" s="22"/>
      <c r="F57" s="18"/>
      <c r="G57" s="475"/>
      <c r="H57" s="18"/>
      <c r="I57" s="475"/>
      <c r="J57" s="475"/>
      <c r="K57" s="475"/>
      <c r="L57" s="64"/>
      <c r="M57" s="24"/>
    </row>
    <row r="58" spans="1:13" ht="21.95" customHeight="1">
      <c r="A58" s="58"/>
      <c r="B58" s="73"/>
      <c r="C58" s="74"/>
      <c r="D58" s="71"/>
      <c r="E58" s="22"/>
      <c r="F58" s="18"/>
      <c r="G58" s="475"/>
      <c r="H58" s="18"/>
      <c r="I58" s="475"/>
      <c r="J58" s="475"/>
      <c r="K58" s="475"/>
      <c r="L58" s="64"/>
      <c r="M58" s="24"/>
    </row>
    <row r="59" spans="1:13" ht="21.95" customHeight="1">
      <c r="A59" s="58"/>
      <c r="B59" s="338"/>
      <c r="C59" s="74"/>
      <c r="D59" s="71"/>
      <c r="E59" s="61"/>
      <c r="F59" s="475"/>
      <c r="G59" s="475"/>
      <c r="H59" s="475"/>
      <c r="I59" s="475"/>
      <c r="J59" s="475"/>
      <c r="K59" s="475"/>
      <c r="L59" s="64"/>
      <c r="M59" s="24"/>
    </row>
    <row r="60" spans="1:13" ht="21.95" customHeight="1">
      <c r="A60" s="58"/>
      <c r="B60" s="110"/>
      <c r="C60" s="110"/>
      <c r="D60" s="275"/>
      <c r="E60" s="22"/>
      <c r="F60" s="18"/>
      <c r="G60" s="475"/>
      <c r="H60" s="18"/>
      <c r="I60" s="475"/>
      <c r="J60" s="475"/>
      <c r="K60" s="475"/>
      <c r="L60" s="64"/>
      <c r="M60" s="24"/>
    </row>
    <row r="61" spans="1:13" ht="21.95" customHeight="1">
      <c r="A61" s="58"/>
      <c r="B61" s="110"/>
      <c r="C61" s="110"/>
      <c r="D61" s="275"/>
      <c r="E61" s="22"/>
      <c r="F61" s="18"/>
      <c r="G61" s="475"/>
      <c r="H61" s="18"/>
      <c r="I61" s="475"/>
      <c r="J61" s="475"/>
      <c r="K61" s="475"/>
      <c r="L61" s="64"/>
      <c r="M61" s="24"/>
    </row>
    <row r="62" spans="1:13" ht="21.95" customHeight="1">
      <c r="A62" s="58"/>
      <c r="B62" s="73"/>
      <c r="C62" s="74"/>
      <c r="D62" s="71"/>
      <c r="E62" s="22"/>
      <c r="F62" s="18"/>
      <c r="G62" s="475"/>
      <c r="H62" s="18"/>
      <c r="I62" s="475"/>
      <c r="J62" s="475"/>
      <c r="K62" s="475"/>
      <c r="L62" s="64"/>
      <c r="M62" s="24"/>
    </row>
    <row r="63" spans="1:13" ht="21.95" customHeight="1">
      <c r="A63" s="58"/>
      <c r="B63" s="338"/>
      <c r="C63" s="74"/>
      <c r="D63" s="71"/>
      <c r="E63" s="61"/>
      <c r="F63" s="475"/>
      <c r="G63" s="475"/>
      <c r="H63" s="475"/>
      <c r="I63" s="475"/>
      <c r="J63" s="475"/>
      <c r="K63" s="475"/>
      <c r="L63" s="64"/>
      <c r="M63" s="24"/>
    </row>
    <row r="64" spans="1:13" ht="21.95" customHeight="1">
      <c r="A64" s="58"/>
      <c r="B64" s="110"/>
      <c r="C64" s="110"/>
      <c r="D64" s="275"/>
      <c r="E64" s="22"/>
      <c r="F64" s="18"/>
      <c r="G64" s="475"/>
      <c r="H64" s="18"/>
      <c r="I64" s="475"/>
      <c r="J64" s="475"/>
      <c r="K64" s="475"/>
      <c r="L64" s="64"/>
      <c r="M64" s="24"/>
    </row>
  </sheetData>
  <mergeCells count="10">
    <mergeCell ref="A2:A3"/>
    <mergeCell ref="M2:M3"/>
    <mergeCell ref="F2:G2"/>
    <mergeCell ref="H2:I2"/>
    <mergeCell ref="J2:K2"/>
    <mergeCell ref="L2:L3"/>
    <mergeCell ref="B2:B3"/>
    <mergeCell ref="C2:C3"/>
    <mergeCell ref="D2:D3"/>
    <mergeCell ref="E2:E3"/>
  </mergeCells>
  <phoneticPr fontId="4" type="noConversion"/>
  <printOptions horizontalCentered="1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&amp;C&amp;"굴림체,굵게"&amp;18일  위  대  가  표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AU50"/>
  <sheetViews>
    <sheetView showGridLines="0" showZeros="0" view="pageBreakPreview" workbookViewId="0">
      <selection activeCell="A11" sqref="A11:M11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301" bestFit="1" customWidth="1"/>
    <col min="12" max="12" width="13.21875" style="301" customWidth="1"/>
    <col min="13" max="13" width="1.77734375" style="301" bestFit="1" customWidth="1"/>
    <col min="14" max="14" width="5" style="301" customWidth="1"/>
    <col min="15" max="15" width="3.77734375" style="301" customWidth="1"/>
    <col min="16" max="16" width="4" style="301" customWidth="1"/>
    <col min="17" max="17" width="2" style="301" bestFit="1" customWidth="1"/>
    <col min="18" max="18" width="4.109375" style="301" customWidth="1"/>
    <col min="19" max="19" width="2" style="301" bestFit="1" customWidth="1"/>
    <col min="20" max="20" width="3.6640625" style="301" customWidth="1"/>
    <col min="21" max="21" width="2.5546875" style="301" customWidth="1"/>
    <col min="22" max="22" width="5.33203125" style="301" customWidth="1"/>
    <col min="23" max="23" width="2.77734375" style="301" bestFit="1" customWidth="1"/>
    <col min="24" max="47" width="8.88671875" style="303"/>
  </cols>
  <sheetData>
    <row r="1" spans="2:26">
      <c r="B1" s="297"/>
      <c r="C1" s="298"/>
      <c r="D1" s="299"/>
      <c r="E1" s="299"/>
      <c r="F1" s="300"/>
      <c r="G1" s="299"/>
      <c r="H1" s="298"/>
      <c r="I1" s="298"/>
      <c r="L1" s="301" t="s">
        <v>9</v>
      </c>
      <c r="N1" s="302">
        <v>1355</v>
      </c>
      <c r="V1" s="301" t="s">
        <v>10</v>
      </c>
    </row>
    <row r="2" spans="2:26">
      <c r="B2" s="297" t="s">
        <v>11</v>
      </c>
      <c r="C2" s="298"/>
      <c r="D2" s="299"/>
      <c r="E2" s="299"/>
      <c r="F2" s="300"/>
      <c r="G2" s="299"/>
      <c r="H2" s="298"/>
      <c r="I2" s="298"/>
      <c r="J2" s="304"/>
      <c r="K2" s="305"/>
      <c r="L2" s="301" t="s">
        <v>12</v>
      </c>
      <c r="N2" s="306">
        <v>1502</v>
      </c>
      <c r="V2" s="301">
        <v>1.1499999999999999</v>
      </c>
    </row>
    <row r="3" spans="2:26" ht="14.25">
      <c r="B3" s="298" t="s">
        <v>13</v>
      </c>
      <c r="C3" s="298" t="s">
        <v>14</v>
      </c>
      <c r="D3" s="307">
        <v>0.2</v>
      </c>
      <c r="E3" s="308" t="s">
        <v>183</v>
      </c>
      <c r="F3" s="298"/>
      <c r="G3" s="299"/>
      <c r="H3" s="299"/>
      <c r="I3" s="299"/>
      <c r="N3" s="632">
        <f>0.125*1.333*1.25</f>
        <v>0.20828125</v>
      </c>
      <c r="O3" s="632"/>
      <c r="P3" s="632"/>
      <c r="Q3" s="632"/>
    </row>
    <row r="4" spans="2:26">
      <c r="B4" s="297" t="s">
        <v>11</v>
      </c>
      <c r="C4" s="298"/>
      <c r="D4" s="299"/>
      <c r="E4" s="299"/>
      <c r="F4" s="300"/>
      <c r="G4" s="299"/>
      <c r="H4" s="298"/>
      <c r="I4" s="298"/>
    </row>
    <row r="5" spans="2:26">
      <c r="B5" s="298" t="s">
        <v>15</v>
      </c>
      <c r="C5" s="298"/>
      <c r="D5" s="299" t="s">
        <v>317</v>
      </c>
      <c r="E5" s="299" t="s">
        <v>16</v>
      </c>
      <c r="F5" s="300" t="s">
        <v>17</v>
      </c>
      <c r="G5" s="299" t="s">
        <v>18</v>
      </c>
      <c r="H5" s="299" t="s">
        <v>475</v>
      </c>
      <c r="I5" s="299"/>
      <c r="J5" s="304"/>
      <c r="K5" s="305"/>
      <c r="L5" s="301" t="s">
        <v>472</v>
      </c>
    </row>
    <row r="6" spans="2:26">
      <c r="B6" s="297" t="s">
        <v>19</v>
      </c>
      <c r="C6" s="298"/>
      <c r="D6" s="299"/>
      <c r="E6" s="299"/>
      <c r="F6" s="300"/>
      <c r="G6" s="299"/>
      <c r="H6" s="298"/>
      <c r="I6" s="298"/>
    </row>
    <row r="7" spans="2:26">
      <c r="B7" s="298" t="s">
        <v>20</v>
      </c>
      <c r="C7" s="309" t="str">
        <f>C3</f>
        <v>굴삭기(유압식백호우)</v>
      </c>
      <c r="D7" s="299" t="s">
        <v>21</v>
      </c>
      <c r="E7" s="310">
        <v>0.20849999999999999</v>
      </c>
      <c r="F7" s="311">
        <v>59780</v>
      </c>
      <c r="G7" s="300">
        <f>INT(E7*F7)</f>
        <v>12464</v>
      </c>
      <c r="H7" s="298"/>
      <c r="I7" s="298"/>
      <c r="L7" s="301" t="s">
        <v>22</v>
      </c>
      <c r="M7" s="301" t="s">
        <v>23</v>
      </c>
      <c r="N7" s="312">
        <v>202885</v>
      </c>
      <c r="O7" s="301" t="s">
        <v>24</v>
      </c>
      <c r="P7" s="301">
        <v>0.125</v>
      </c>
      <c r="Q7" s="301" t="s">
        <v>24</v>
      </c>
      <c r="R7" s="301">
        <v>1.6659999999999999</v>
      </c>
      <c r="S7" s="301" t="s">
        <v>24</v>
      </c>
      <c r="T7" s="301">
        <v>1.25</v>
      </c>
      <c r="U7" s="301" t="s">
        <v>25</v>
      </c>
      <c r="V7" s="313">
        <f>INT(N7*$N$3)</f>
        <v>42257</v>
      </c>
      <c r="W7" s="301" t="s">
        <v>26</v>
      </c>
      <c r="Z7"/>
    </row>
    <row r="8" spans="2:26">
      <c r="B8" s="298"/>
      <c r="C8" s="298"/>
      <c r="D8" s="314"/>
      <c r="E8" s="315"/>
      <c r="F8" s="314"/>
      <c r="G8" s="300"/>
      <c r="H8" s="298"/>
      <c r="I8" s="298"/>
      <c r="N8" s="312"/>
      <c r="R8" s="301">
        <v>1.6659999999999999</v>
      </c>
      <c r="V8" s="313"/>
    </row>
    <row r="9" spans="2:26">
      <c r="B9" s="298"/>
      <c r="C9" s="298" t="s">
        <v>27</v>
      </c>
      <c r="D9" s="314"/>
      <c r="E9" s="315"/>
      <c r="F9" s="314"/>
      <c r="G9" s="300">
        <f>SUM(G7:G8)</f>
        <v>12464</v>
      </c>
      <c r="H9" s="298"/>
      <c r="I9" s="298"/>
      <c r="L9" s="301" t="s">
        <v>28</v>
      </c>
      <c r="M9" s="301" t="s">
        <v>23</v>
      </c>
      <c r="N9" s="312"/>
      <c r="O9" s="301" t="s">
        <v>24</v>
      </c>
      <c r="P9" s="301">
        <v>0.125</v>
      </c>
      <c r="Q9" s="301" t="s">
        <v>24</v>
      </c>
      <c r="R9" s="301">
        <v>1.6659999999999999</v>
      </c>
      <c r="S9" s="301" t="s">
        <v>24</v>
      </c>
      <c r="T9" s="301">
        <v>1.25</v>
      </c>
      <c r="U9" s="301" t="s">
        <v>25</v>
      </c>
      <c r="V9" s="313">
        <f>INT(N9*$N$3)</f>
        <v>0</v>
      </c>
      <c r="W9" s="301" t="s">
        <v>26</v>
      </c>
      <c r="Z9" s="303">
        <f>P23*R23*T23</f>
        <v>0</v>
      </c>
    </row>
    <row r="10" spans="2:26">
      <c r="B10" s="297" t="s">
        <v>19</v>
      </c>
      <c r="C10" s="298"/>
      <c r="D10" s="299"/>
      <c r="E10" s="315"/>
      <c r="F10" s="314"/>
      <c r="G10" s="300"/>
      <c r="H10" s="298"/>
      <c r="I10" s="298"/>
      <c r="N10" s="312"/>
      <c r="R10" s="301">
        <v>1.6659999999999999</v>
      </c>
      <c r="V10" s="313"/>
    </row>
    <row r="11" spans="2:26">
      <c r="B11" s="298" t="s">
        <v>29</v>
      </c>
      <c r="C11" s="298" t="s">
        <v>30</v>
      </c>
      <c r="D11" s="299" t="s">
        <v>31</v>
      </c>
      <c r="E11" s="316">
        <v>5</v>
      </c>
      <c r="F11" s="311">
        <f>N1</f>
        <v>1355</v>
      </c>
      <c r="G11" s="300">
        <f>INT(E11*F11)</f>
        <v>6775</v>
      </c>
      <c r="H11" s="298"/>
      <c r="I11" s="298"/>
      <c r="L11" s="301" t="s">
        <v>32</v>
      </c>
      <c r="M11" s="301" t="s">
        <v>23</v>
      </c>
      <c r="N11" s="312">
        <v>176227</v>
      </c>
      <c r="O11" s="301" t="s">
        <v>24</v>
      </c>
      <c r="P11" s="301">
        <v>0.125</v>
      </c>
      <c r="Q11" s="301" t="s">
        <v>24</v>
      </c>
      <c r="R11" s="301">
        <v>1.6659999999999999</v>
      </c>
      <c r="S11" s="301" t="s">
        <v>24</v>
      </c>
      <c r="T11" s="301">
        <v>1.25</v>
      </c>
      <c r="U11" s="301" t="s">
        <v>25</v>
      </c>
      <c r="V11" s="313">
        <f>INT(N11*$N$3)</f>
        <v>36704</v>
      </c>
      <c r="W11" s="301" t="s">
        <v>26</v>
      </c>
    </row>
    <row r="12" spans="2:26">
      <c r="B12" s="298"/>
      <c r="C12" s="298" t="s">
        <v>33</v>
      </c>
      <c r="D12" s="299" t="s">
        <v>34</v>
      </c>
      <c r="E12" s="317">
        <v>0.21</v>
      </c>
      <c r="F12" s="314"/>
      <c r="G12" s="318">
        <f>INT(E12*G11)</f>
        <v>1422</v>
      </c>
      <c r="H12" s="298"/>
      <c r="I12" s="298"/>
      <c r="R12" s="301">
        <v>1.6659999999999999</v>
      </c>
    </row>
    <row r="13" spans="2:26">
      <c r="B13" s="314"/>
      <c r="C13" s="314"/>
      <c r="D13" s="314"/>
      <c r="E13" s="315"/>
      <c r="F13" s="314"/>
      <c r="G13" s="300"/>
      <c r="H13" s="298"/>
      <c r="I13" s="298"/>
      <c r="L13" s="301" t="s">
        <v>35</v>
      </c>
      <c r="M13" s="301" t="s">
        <v>23</v>
      </c>
      <c r="N13" s="312">
        <v>138956</v>
      </c>
      <c r="O13" s="301" t="s">
        <v>24</v>
      </c>
      <c r="P13" s="301">
        <v>0.125</v>
      </c>
      <c r="Q13" s="301" t="s">
        <v>24</v>
      </c>
      <c r="R13" s="301">
        <v>1.6659999999999999</v>
      </c>
      <c r="S13" s="301" t="s">
        <v>24</v>
      </c>
      <c r="T13" s="301">
        <v>1.25</v>
      </c>
      <c r="U13" s="301" t="s">
        <v>25</v>
      </c>
      <c r="V13" s="313">
        <f>INT(N13*$N$3)</f>
        <v>28941</v>
      </c>
      <c r="W13" s="301" t="s">
        <v>26</v>
      </c>
    </row>
    <row r="14" spans="2:26">
      <c r="B14" s="314"/>
      <c r="C14" s="298" t="s">
        <v>27</v>
      </c>
      <c r="D14" s="314"/>
      <c r="E14" s="315"/>
      <c r="F14" s="314"/>
      <c r="G14" s="300">
        <f>SUM(G11:G13)</f>
        <v>8197</v>
      </c>
      <c r="H14" s="298"/>
      <c r="I14" s="298"/>
      <c r="N14" s="312"/>
      <c r="R14" s="301">
        <v>1.6659999999999999</v>
      </c>
      <c r="V14" s="313"/>
    </row>
    <row r="15" spans="2:26">
      <c r="B15" s="297" t="s">
        <v>19</v>
      </c>
      <c r="C15" s="298"/>
      <c r="D15" s="299"/>
      <c r="E15" s="315"/>
      <c r="F15" s="314"/>
      <c r="G15" s="300"/>
      <c r="H15" s="298"/>
      <c r="I15" s="298"/>
      <c r="L15" s="301" t="s">
        <v>36</v>
      </c>
      <c r="M15" s="301" t="s">
        <v>23</v>
      </c>
      <c r="N15" s="312">
        <v>100397</v>
      </c>
      <c r="O15" s="301" t="s">
        <v>24</v>
      </c>
      <c r="P15" s="301">
        <v>0.125</v>
      </c>
      <c r="Q15" s="301" t="s">
        <v>24</v>
      </c>
      <c r="R15" s="301">
        <v>1.6659999999999999</v>
      </c>
      <c r="S15" s="301" t="s">
        <v>24</v>
      </c>
      <c r="T15" s="301">
        <v>1.25</v>
      </c>
      <c r="U15" s="301" t="s">
        <v>25</v>
      </c>
      <c r="V15" s="313">
        <f>INT(N15*$N$3)</f>
        <v>20910</v>
      </c>
      <c r="W15" s="301" t="s">
        <v>26</v>
      </c>
    </row>
    <row r="16" spans="2:26">
      <c r="B16" s="298" t="s">
        <v>37</v>
      </c>
      <c r="C16" s="298" t="s">
        <v>1257</v>
      </c>
      <c r="D16" s="299" t="s">
        <v>473</v>
      </c>
      <c r="E16" s="319">
        <v>1</v>
      </c>
      <c r="F16" s="311">
        <f>V7</f>
        <v>42257</v>
      </c>
      <c r="G16" s="300">
        <f>INT(E16*F16)</f>
        <v>42257</v>
      </c>
      <c r="H16" s="298"/>
      <c r="I16" s="298"/>
      <c r="M16" s="312"/>
      <c r="R16" s="301">
        <v>1.6659999999999999</v>
      </c>
      <c r="U16" s="313"/>
    </row>
    <row r="17" spans="2:27">
      <c r="B17" s="298"/>
      <c r="C17" s="298"/>
      <c r="D17" s="299"/>
      <c r="E17" s="315"/>
      <c r="F17" s="311"/>
      <c r="G17" s="300"/>
      <c r="H17" s="298"/>
      <c r="I17" s="298"/>
      <c r="L17" s="301" t="s">
        <v>28</v>
      </c>
      <c r="M17" s="301" t="s">
        <v>23</v>
      </c>
      <c r="N17" s="312">
        <f>N9</f>
        <v>0</v>
      </c>
      <c r="O17" s="301" t="s">
        <v>24</v>
      </c>
      <c r="P17" s="301">
        <v>0.125</v>
      </c>
      <c r="Q17" s="301" t="s">
        <v>24</v>
      </c>
      <c r="R17" s="301">
        <v>1.6659999999999999</v>
      </c>
      <c r="S17" s="301" t="s">
        <v>24</v>
      </c>
      <c r="T17" s="301">
        <v>1.25</v>
      </c>
      <c r="U17" s="301" t="s">
        <v>25</v>
      </c>
      <c r="V17" s="313">
        <f>INT(N17*$N$3)</f>
        <v>0</v>
      </c>
      <c r="W17" s="301" t="s">
        <v>26</v>
      </c>
    </row>
    <row r="18" spans="2:27">
      <c r="B18" s="298"/>
      <c r="C18" s="298"/>
      <c r="D18" s="299"/>
      <c r="E18" s="315"/>
      <c r="F18" s="311"/>
      <c r="G18" s="300"/>
      <c r="H18" s="298"/>
      <c r="I18" s="298"/>
    </row>
    <row r="19" spans="2:27">
      <c r="B19" s="298"/>
      <c r="C19" s="298"/>
      <c r="D19" s="299"/>
      <c r="E19" s="315"/>
      <c r="F19" s="314"/>
      <c r="G19" s="300"/>
      <c r="H19" s="298"/>
      <c r="I19" s="298"/>
    </row>
    <row r="20" spans="2:27">
      <c r="B20" s="298"/>
      <c r="C20" s="298" t="s">
        <v>27</v>
      </c>
      <c r="D20" s="299"/>
      <c r="E20" s="299"/>
      <c r="F20" s="300"/>
      <c r="G20" s="300">
        <f>SUM(G16:G19)</f>
        <v>42257</v>
      </c>
      <c r="H20" s="298"/>
      <c r="I20" s="298"/>
    </row>
    <row r="21" spans="2:27">
      <c r="B21" s="297" t="s">
        <v>19</v>
      </c>
      <c r="C21" s="298"/>
      <c r="D21" s="299"/>
      <c r="E21" s="299"/>
      <c r="F21" s="300"/>
      <c r="G21" s="300"/>
      <c r="H21" s="298"/>
      <c r="I21" s="298"/>
    </row>
    <row r="22" spans="2:27">
      <c r="B22" s="299" t="s">
        <v>38</v>
      </c>
      <c r="C22" s="298"/>
      <c r="D22" s="299"/>
      <c r="E22" s="299"/>
      <c r="F22" s="300"/>
      <c r="G22" s="300">
        <f>G9+G14+G20</f>
        <v>62918</v>
      </c>
      <c r="H22" s="298"/>
      <c r="I22" s="298"/>
    </row>
    <row r="23" spans="2:27">
      <c r="B23" s="297" t="s">
        <v>11</v>
      </c>
      <c r="C23" s="298"/>
      <c r="D23" s="299"/>
      <c r="E23" s="299"/>
      <c r="F23" s="300"/>
      <c r="G23" s="299"/>
      <c r="H23" s="298"/>
      <c r="I23" s="298"/>
    </row>
    <row r="24" spans="2:27">
      <c r="B24" s="297"/>
      <c r="C24" s="298"/>
      <c r="D24" s="299"/>
      <c r="E24" s="299"/>
      <c r="F24" s="300"/>
      <c r="G24" s="299"/>
      <c r="H24" s="298"/>
      <c r="I24" s="298"/>
      <c r="Z24" s="320">
        <v>32107</v>
      </c>
      <c r="AA24" s="320">
        <v>7050</v>
      </c>
    </row>
    <row r="25" spans="2:27">
      <c r="B25" s="297"/>
      <c r="C25" s="298"/>
      <c r="D25" s="299"/>
      <c r="E25" s="299"/>
      <c r="F25" s="321"/>
      <c r="G25" s="299"/>
      <c r="H25" s="298"/>
      <c r="I25" s="298"/>
    </row>
    <row r="26" spans="2:27">
      <c r="B26" s="297"/>
      <c r="C26" s="298"/>
      <c r="D26" s="299"/>
      <c r="E26" s="299"/>
      <c r="F26" s="300"/>
      <c r="G26" s="299"/>
      <c r="H26" s="298"/>
    </row>
    <row r="27" spans="2:27">
      <c r="B27" s="297"/>
      <c r="C27" s="298"/>
      <c r="D27" s="299"/>
      <c r="E27" s="299"/>
      <c r="F27" s="300"/>
      <c r="G27" s="299"/>
      <c r="H27" s="298"/>
    </row>
    <row r="28" spans="2:27">
      <c r="B28" s="298"/>
      <c r="C28" s="298"/>
      <c r="D28" s="307"/>
      <c r="E28" s="308"/>
      <c r="F28" s="298"/>
      <c r="G28" s="299"/>
      <c r="H28" s="299"/>
      <c r="I28" s="298"/>
    </row>
    <row r="29" spans="2:27">
      <c r="B29" s="297"/>
      <c r="C29" s="298"/>
      <c r="D29" s="299"/>
      <c r="E29" s="299"/>
      <c r="F29" s="300"/>
      <c r="G29" s="299"/>
      <c r="H29" s="298"/>
      <c r="I29" s="299"/>
    </row>
    <row r="30" spans="2:27">
      <c r="B30" s="298"/>
      <c r="C30" s="298"/>
      <c r="D30" s="299"/>
      <c r="E30" s="299"/>
      <c r="F30" s="300"/>
      <c r="G30" s="299"/>
      <c r="H30" s="299"/>
      <c r="I30" s="298"/>
      <c r="P30">
        <v>0.20833333333333334</v>
      </c>
    </row>
    <row r="31" spans="2:27">
      <c r="B31" s="297"/>
      <c r="C31" s="298"/>
      <c r="D31" s="299"/>
      <c r="E31" s="299"/>
      <c r="F31" s="300"/>
      <c r="G31" s="299"/>
      <c r="H31" s="298"/>
      <c r="I31" s="299"/>
    </row>
    <row r="32" spans="2:27">
      <c r="B32" s="298"/>
      <c r="C32" s="309"/>
      <c r="D32" s="299"/>
      <c r="E32" s="310"/>
      <c r="F32" s="311"/>
      <c r="G32" s="300"/>
      <c r="H32" s="298"/>
      <c r="I32" s="298"/>
    </row>
    <row r="33" spans="2:9">
      <c r="B33" s="298"/>
      <c r="C33" s="298"/>
      <c r="D33" s="314"/>
      <c r="E33" s="315"/>
      <c r="F33" s="314"/>
      <c r="G33" s="300"/>
      <c r="H33" s="298"/>
      <c r="I33" s="298"/>
    </row>
    <row r="34" spans="2:9">
      <c r="B34" s="298"/>
      <c r="C34" s="298"/>
      <c r="D34" s="314"/>
      <c r="E34" s="315"/>
      <c r="F34" s="314"/>
      <c r="G34" s="300"/>
      <c r="H34" s="298"/>
      <c r="I34" s="298"/>
    </row>
    <row r="35" spans="2:9">
      <c r="B35" s="297"/>
      <c r="C35" s="298"/>
      <c r="D35" s="299"/>
      <c r="E35" s="315"/>
      <c r="F35" s="314"/>
      <c r="G35" s="300"/>
      <c r="H35" s="298"/>
      <c r="I35" s="298"/>
    </row>
    <row r="36" spans="2:9">
      <c r="B36" s="298"/>
      <c r="C36" s="298"/>
      <c r="D36" s="299"/>
      <c r="E36" s="316"/>
      <c r="F36" s="311"/>
      <c r="G36" s="300"/>
      <c r="H36" s="298"/>
      <c r="I36" s="298"/>
    </row>
    <row r="37" spans="2:9">
      <c r="B37" s="298"/>
      <c r="C37" s="298"/>
      <c r="D37" s="299"/>
      <c r="E37" s="322"/>
      <c r="F37" s="314"/>
      <c r="G37" s="318"/>
      <c r="H37" s="298"/>
      <c r="I37" s="298"/>
    </row>
    <row r="38" spans="2:9">
      <c r="B38" s="314"/>
      <c r="C38" s="314"/>
      <c r="D38" s="314"/>
      <c r="E38" s="315"/>
      <c r="F38" s="314"/>
      <c r="G38" s="300"/>
      <c r="H38" s="298"/>
      <c r="I38" s="298"/>
    </row>
    <row r="39" spans="2:9">
      <c r="B39" s="314"/>
      <c r="C39" s="298"/>
      <c r="D39" s="314"/>
      <c r="E39" s="315"/>
      <c r="F39" s="314"/>
      <c r="G39" s="300"/>
      <c r="H39" s="298"/>
      <c r="I39" s="298"/>
    </row>
    <row r="40" spans="2:9">
      <c r="B40" s="297"/>
      <c r="C40" s="298"/>
      <c r="D40" s="299"/>
      <c r="E40" s="315"/>
      <c r="F40" s="314"/>
      <c r="G40" s="300"/>
      <c r="H40" s="298"/>
      <c r="I40" s="298"/>
    </row>
    <row r="41" spans="2:9">
      <c r="B41" s="298"/>
      <c r="C41" s="298"/>
      <c r="D41" s="299"/>
      <c r="E41" s="319"/>
      <c r="F41" s="311"/>
      <c r="G41" s="300"/>
      <c r="H41" s="298"/>
      <c r="I41" s="298"/>
    </row>
    <row r="42" spans="2:9">
      <c r="B42" s="298"/>
      <c r="C42" s="298"/>
      <c r="D42" s="299"/>
      <c r="E42" s="319"/>
      <c r="F42" s="311"/>
      <c r="G42" s="300"/>
      <c r="H42" s="298"/>
      <c r="I42" s="298"/>
    </row>
    <row r="43" spans="2:9">
      <c r="B43" s="298"/>
      <c r="C43" s="298"/>
      <c r="D43" s="299"/>
      <c r="E43" s="315"/>
      <c r="F43" s="311"/>
      <c r="G43" s="300"/>
      <c r="H43" s="298"/>
      <c r="I43" s="298"/>
    </row>
    <row r="44" spans="2:9">
      <c r="B44" s="298"/>
      <c r="C44" s="298"/>
      <c r="D44" s="299"/>
      <c r="E44" s="315"/>
      <c r="F44" s="314"/>
      <c r="G44" s="300"/>
      <c r="H44" s="298"/>
      <c r="I44" s="298"/>
    </row>
    <row r="45" spans="2:9">
      <c r="B45" s="298"/>
      <c r="C45" s="298"/>
      <c r="D45" s="299"/>
      <c r="E45" s="299"/>
      <c r="F45" s="300"/>
      <c r="G45" s="300"/>
      <c r="H45" s="298"/>
      <c r="I45" s="298"/>
    </row>
    <row r="46" spans="2:9">
      <c r="B46" s="297"/>
      <c r="C46" s="298"/>
      <c r="D46" s="299"/>
      <c r="E46" s="299"/>
      <c r="F46" s="300"/>
      <c r="G46" s="300"/>
      <c r="H46" s="298"/>
      <c r="I46" s="298"/>
    </row>
    <row r="47" spans="2:9">
      <c r="B47" s="299"/>
      <c r="C47" s="298"/>
      <c r="D47" s="299"/>
      <c r="E47" s="299"/>
      <c r="F47" s="300"/>
      <c r="G47" s="300"/>
      <c r="H47" s="298"/>
      <c r="I47" s="298"/>
    </row>
    <row r="48" spans="2:9">
      <c r="B48" s="297"/>
      <c r="C48" s="298"/>
      <c r="D48" s="299"/>
      <c r="E48" s="299"/>
      <c r="F48" s="300"/>
      <c r="G48" s="299"/>
      <c r="H48" s="298"/>
      <c r="I48" s="298"/>
    </row>
    <row r="49" spans="3:9">
      <c r="C49" s="297"/>
      <c r="D49" s="298"/>
      <c r="E49" s="299"/>
      <c r="F49" s="299"/>
      <c r="G49" s="300"/>
      <c r="H49" s="299"/>
      <c r="I49" s="298"/>
    </row>
    <row r="50" spans="3:9">
      <c r="C50" s="297"/>
      <c r="D50" s="298"/>
      <c r="E50" s="299"/>
      <c r="F50" s="299"/>
      <c r="G50" s="300"/>
      <c r="H50" s="299"/>
      <c r="I50" s="298"/>
    </row>
  </sheetData>
  <mergeCells count="1">
    <mergeCell ref="N3:Q3"/>
  </mergeCells>
  <phoneticPr fontId="4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B1:AU261"/>
  <sheetViews>
    <sheetView showGridLines="0" showZeros="0" view="pageBreakPreview" zoomScaleSheetLayoutView="100" workbookViewId="0">
      <selection activeCell="F20" sqref="F20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301" bestFit="1" customWidth="1"/>
    <col min="12" max="12" width="13.21875" style="301" customWidth="1"/>
    <col min="13" max="13" width="1.77734375" style="301" bestFit="1" customWidth="1"/>
    <col min="14" max="14" width="5" style="301" customWidth="1"/>
    <col min="15" max="15" width="3.77734375" style="301" customWidth="1"/>
    <col min="16" max="16" width="4" style="301" customWidth="1"/>
    <col min="17" max="17" width="2" style="301" bestFit="1" customWidth="1"/>
    <col min="18" max="18" width="4.109375" style="301" customWidth="1"/>
    <col min="19" max="19" width="2" style="301" bestFit="1" customWidth="1"/>
    <col min="20" max="20" width="3.6640625" style="301" customWidth="1"/>
    <col min="21" max="21" width="2.5546875" style="301" customWidth="1"/>
    <col min="22" max="22" width="5.33203125" style="301" customWidth="1"/>
    <col min="23" max="23" width="2.77734375" style="301" bestFit="1" customWidth="1"/>
    <col min="24" max="47" width="8.88671875" style="303"/>
  </cols>
  <sheetData>
    <row r="1" spans="2:26">
      <c r="B1" s="297"/>
      <c r="C1" s="298"/>
      <c r="D1" s="299"/>
      <c r="E1" s="299"/>
      <c r="F1" s="300"/>
      <c r="G1" s="299"/>
      <c r="H1" s="298"/>
      <c r="I1" s="298"/>
      <c r="L1" s="301" t="s">
        <v>9</v>
      </c>
      <c r="N1" s="340">
        <v>933</v>
      </c>
      <c r="P1" s="301" t="s">
        <v>184</v>
      </c>
      <c r="V1" s="301" t="s">
        <v>10</v>
      </c>
    </row>
    <row r="2" spans="2:26">
      <c r="B2" s="297" t="s">
        <v>11</v>
      </c>
      <c r="C2" s="298"/>
      <c r="D2" s="299"/>
      <c r="E2" s="299"/>
      <c r="F2" s="300"/>
      <c r="G2" s="299"/>
      <c r="H2" s="298"/>
      <c r="I2" s="298"/>
      <c r="J2" s="304"/>
      <c r="K2" s="305"/>
      <c r="L2" s="301" t="s">
        <v>12</v>
      </c>
      <c r="N2" s="340">
        <v>1113</v>
      </c>
      <c r="V2" s="301">
        <v>1.1499999999999999</v>
      </c>
    </row>
    <row r="3" spans="2:26" ht="14.25">
      <c r="B3" s="298" t="s">
        <v>13</v>
      </c>
      <c r="C3" s="298" t="s">
        <v>14</v>
      </c>
      <c r="D3" s="307">
        <v>0.2</v>
      </c>
      <c r="E3" s="308" t="s">
        <v>183</v>
      </c>
      <c r="F3" s="298"/>
      <c r="G3" s="299"/>
      <c r="H3" s="299"/>
      <c r="I3" s="299"/>
      <c r="N3" s="632">
        <f>P7*R7*T7</f>
        <v>0.20833333333333331</v>
      </c>
      <c r="O3" s="632"/>
      <c r="P3" s="632"/>
      <c r="Q3" s="632"/>
    </row>
    <row r="4" spans="2:26">
      <c r="B4" s="297" t="s">
        <v>11</v>
      </c>
      <c r="C4" s="298"/>
      <c r="D4" s="299"/>
      <c r="E4" s="299"/>
      <c r="F4" s="300"/>
      <c r="G4" s="299"/>
      <c r="H4" s="298"/>
      <c r="I4" s="298"/>
    </row>
    <row r="5" spans="2:26">
      <c r="B5" s="298" t="s">
        <v>15</v>
      </c>
      <c r="C5" s="298"/>
      <c r="D5" s="299" t="s">
        <v>317</v>
      </c>
      <c r="E5" s="299" t="s">
        <v>16</v>
      </c>
      <c r="F5" s="300" t="s">
        <v>17</v>
      </c>
      <c r="G5" s="299" t="s">
        <v>18</v>
      </c>
      <c r="H5" s="299" t="s">
        <v>475</v>
      </c>
      <c r="I5" s="299"/>
      <c r="J5" s="304"/>
      <c r="K5" s="305"/>
      <c r="L5" s="301" t="s">
        <v>472</v>
      </c>
    </row>
    <row r="6" spans="2:26">
      <c r="B6" s="297" t="s">
        <v>19</v>
      </c>
      <c r="C6" s="298"/>
      <c r="D6" s="299"/>
      <c r="E6" s="299"/>
      <c r="F6" s="300"/>
      <c r="G6" s="299"/>
      <c r="H6" s="298"/>
      <c r="I6" s="298"/>
    </row>
    <row r="7" spans="2:26">
      <c r="B7" s="298" t="s">
        <v>20</v>
      </c>
      <c r="C7" s="309" t="str">
        <f>C3</f>
        <v>굴삭기(유압식백호우)</v>
      </c>
      <c r="D7" s="299" t="s">
        <v>21</v>
      </c>
      <c r="E7" s="310">
        <f>(1*2038*10^-7)*1000</f>
        <v>0.20379999999999998</v>
      </c>
      <c r="F7" s="311">
        <v>52000</v>
      </c>
      <c r="G7" s="300">
        <f>INT(E7*F7)</f>
        <v>10597</v>
      </c>
      <c r="H7" s="298"/>
      <c r="I7" s="298"/>
      <c r="L7" s="301" t="s">
        <v>22</v>
      </c>
      <c r="M7" s="301" t="s">
        <v>23</v>
      </c>
      <c r="N7" s="312">
        <v>112268</v>
      </c>
      <c r="O7" s="301" t="s">
        <v>24</v>
      </c>
      <c r="P7" s="301">
        <f>1/8</f>
        <v>0.125</v>
      </c>
      <c r="Q7" s="301" t="s">
        <v>24</v>
      </c>
      <c r="R7" s="301">
        <f>16/12</f>
        <v>1.3333333333333333</v>
      </c>
      <c r="S7" s="301" t="s">
        <v>24</v>
      </c>
      <c r="T7" s="301">
        <f>25/20</f>
        <v>1.25</v>
      </c>
      <c r="U7" s="301" t="s">
        <v>25</v>
      </c>
      <c r="V7" s="313">
        <f>INT(N7*$N$3)</f>
        <v>23389</v>
      </c>
      <c r="W7" s="301" t="s">
        <v>26</v>
      </c>
      <c r="Z7"/>
    </row>
    <row r="8" spans="2:26">
      <c r="B8" s="298"/>
      <c r="C8" s="298"/>
      <c r="D8" s="314"/>
      <c r="E8" s="315"/>
      <c r="F8" s="314"/>
      <c r="G8" s="300"/>
      <c r="H8" s="298"/>
      <c r="I8" s="298"/>
      <c r="N8" s="312"/>
      <c r="V8" s="313"/>
    </row>
    <row r="9" spans="2:26">
      <c r="B9" s="298"/>
      <c r="C9" s="298" t="s">
        <v>27</v>
      </c>
      <c r="D9" s="314"/>
      <c r="E9" s="315"/>
      <c r="F9" s="314"/>
      <c r="G9" s="300">
        <f>SUM(G7:G8)</f>
        <v>10597</v>
      </c>
      <c r="H9" s="298"/>
      <c r="I9" s="298"/>
      <c r="L9" s="301" t="s">
        <v>28</v>
      </c>
      <c r="M9" s="301" t="s">
        <v>23</v>
      </c>
      <c r="N9" s="312"/>
      <c r="O9" s="301" t="s">
        <v>24</v>
      </c>
      <c r="P9" s="301">
        <v>0.125</v>
      </c>
      <c r="Q9" s="301" t="s">
        <v>24</v>
      </c>
      <c r="R9" s="301">
        <v>1.6659999999999999</v>
      </c>
      <c r="S9" s="301" t="s">
        <v>24</v>
      </c>
      <c r="T9" s="301">
        <v>1.25</v>
      </c>
      <c r="U9" s="301" t="s">
        <v>25</v>
      </c>
      <c r="V9" s="313">
        <f>INT(N9*$N$3)</f>
        <v>0</v>
      </c>
      <c r="W9" s="301" t="s">
        <v>26</v>
      </c>
      <c r="Z9" s="303">
        <f>P23*R23*T23</f>
        <v>0</v>
      </c>
    </row>
    <row r="10" spans="2:26">
      <c r="B10" s="297" t="s">
        <v>19</v>
      </c>
      <c r="C10" s="298"/>
      <c r="D10" s="299"/>
      <c r="E10" s="315"/>
      <c r="F10" s="314"/>
      <c r="G10" s="300"/>
      <c r="H10" s="298"/>
      <c r="I10" s="298"/>
      <c r="N10" s="312"/>
      <c r="R10" s="301">
        <v>1.6659999999999999</v>
      </c>
      <c r="V10" s="313"/>
    </row>
    <row r="11" spans="2:26">
      <c r="B11" s="298" t="s">
        <v>29</v>
      </c>
      <c r="C11" s="298" t="s">
        <v>30</v>
      </c>
      <c r="D11" s="299" t="s">
        <v>31</v>
      </c>
      <c r="E11" s="316">
        <v>5</v>
      </c>
      <c r="F11" s="311">
        <f>$N$1</f>
        <v>933</v>
      </c>
      <c r="G11" s="300">
        <f>INT(E11*F11)</f>
        <v>4665</v>
      </c>
      <c r="H11" s="298"/>
      <c r="I11" s="298"/>
      <c r="L11" s="301" t="s">
        <v>32</v>
      </c>
      <c r="M11" s="301" t="s">
        <v>23</v>
      </c>
      <c r="N11" s="312">
        <v>105175</v>
      </c>
      <c r="O11" s="301" t="s">
        <v>24</v>
      </c>
      <c r="P11" s="301">
        <v>0.125</v>
      </c>
      <c r="Q11" s="301" t="s">
        <v>24</v>
      </c>
      <c r="R11" s="301">
        <v>1.6659999999999999</v>
      </c>
      <c r="S11" s="301" t="s">
        <v>24</v>
      </c>
      <c r="T11" s="301">
        <v>1.25</v>
      </c>
      <c r="U11" s="301" t="s">
        <v>25</v>
      </c>
      <c r="V11" s="313">
        <f>INT(N11*$N$3)</f>
        <v>21911</v>
      </c>
      <c r="W11" s="301" t="s">
        <v>26</v>
      </c>
    </row>
    <row r="12" spans="2:26">
      <c r="B12" s="298"/>
      <c r="C12" s="298" t="s">
        <v>33</v>
      </c>
      <c r="D12" s="299" t="s">
        <v>34</v>
      </c>
      <c r="E12" s="317">
        <v>0.21</v>
      </c>
      <c r="F12" s="314"/>
      <c r="G12" s="318">
        <f>INT(E12*G11)</f>
        <v>979</v>
      </c>
      <c r="H12" s="298"/>
      <c r="I12" s="298"/>
      <c r="R12" s="301">
        <v>1.6659999999999999</v>
      </c>
    </row>
    <row r="13" spans="2:26">
      <c r="B13" s="314"/>
      <c r="C13" s="314"/>
      <c r="D13" s="314"/>
      <c r="E13" s="315"/>
      <c r="F13" s="314"/>
      <c r="G13" s="300"/>
      <c r="H13" s="298"/>
      <c r="I13" s="298"/>
      <c r="L13" s="301" t="s">
        <v>35</v>
      </c>
      <c r="M13" s="301" t="s">
        <v>23</v>
      </c>
      <c r="N13" s="312">
        <v>112268</v>
      </c>
      <c r="O13" s="301" t="s">
        <v>24</v>
      </c>
      <c r="P13" s="301">
        <v>0.125</v>
      </c>
      <c r="Q13" s="301" t="s">
        <v>24</v>
      </c>
      <c r="R13" s="301">
        <v>1.6659999999999999</v>
      </c>
      <c r="S13" s="301" t="s">
        <v>24</v>
      </c>
      <c r="T13" s="301">
        <v>1.25</v>
      </c>
      <c r="U13" s="301" t="s">
        <v>25</v>
      </c>
      <c r="V13" s="313">
        <f>INT(N13*$N$3)</f>
        <v>23389</v>
      </c>
      <c r="W13" s="301" t="s">
        <v>26</v>
      </c>
    </row>
    <row r="14" spans="2:26">
      <c r="B14" s="314"/>
      <c r="C14" s="298" t="s">
        <v>27</v>
      </c>
      <c r="D14" s="314"/>
      <c r="E14" s="315"/>
      <c r="F14" s="314"/>
      <c r="G14" s="300">
        <f>SUM(G11:G13)</f>
        <v>5644</v>
      </c>
      <c r="H14" s="298"/>
      <c r="I14" s="298"/>
      <c r="N14" s="312"/>
      <c r="R14" s="301">
        <v>1.6659999999999999</v>
      </c>
      <c r="V14" s="313"/>
    </row>
    <row r="15" spans="2:26">
      <c r="B15" s="297" t="s">
        <v>19</v>
      </c>
      <c r="C15" s="298"/>
      <c r="D15" s="299"/>
      <c r="E15" s="315"/>
      <c r="F15" s="314"/>
      <c r="G15" s="300"/>
      <c r="H15" s="298"/>
      <c r="I15" s="298"/>
      <c r="L15" s="301" t="s">
        <v>36</v>
      </c>
      <c r="M15" s="301" t="s">
        <v>23</v>
      </c>
      <c r="N15" s="312">
        <v>101301</v>
      </c>
      <c r="O15" s="301" t="s">
        <v>24</v>
      </c>
      <c r="P15" s="301">
        <v>0.125</v>
      </c>
      <c r="Q15" s="301" t="s">
        <v>24</v>
      </c>
      <c r="R15" s="301">
        <v>1.6659999999999999</v>
      </c>
      <c r="S15" s="301" t="s">
        <v>24</v>
      </c>
      <c r="T15" s="301">
        <v>1.25</v>
      </c>
      <c r="U15" s="301" t="s">
        <v>25</v>
      </c>
      <c r="V15" s="313">
        <f>INT(N15*$N$3)</f>
        <v>21104</v>
      </c>
      <c r="W15" s="301" t="s">
        <v>26</v>
      </c>
    </row>
    <row r="16" spans="2:26">
      <c r="B16" s="298" t="s">
        <v>37</v>
      </c>
      <c r="C16" s="298" t="s">
        <v>185</v>
      </c>
      <c r="D16" s="299" t="s">
        <v>473</v>
      </c>
      <c r="E16" s="319">
        <v>1</v>
      </c>
      <c r="F16" s="311">
        <f>$V$7</f>
        <v>23389</v>
      </c>
      <c r="G16" s="300">
        <f>INT(E16*F16)</f>
        <v>23389</v>
      </c>
      <c r="H16" s="298"/>
      <c r="I16" s="298"/>
      <c r="M16" s="312"/>
      <c r="R16" s="301">
        <v>1.6659999999999999</v>
      </c>
      <c r="U16" s="313"/>
    </row>
    <row r="17" spans="2:27">
      <c r="B17" s="298"/>
      <c r="C17" s="298"/>
      <c r="D17" s="299"/>
      <c r="E17" s="315"/>
      <c r="F17" s="311"/>
      <c r="G17" s="300"/>
      <c r="H17" s="298"/>
      <c r="I17" s="298"/>
      <c r="L17" s="301" t="s">
        <v>28</v>
      </c>
      <c r="M17" s="301" t="s">
        <v>23</v>
      </c>
      <c r="N17" s="312">
        <f>N9</f>
        <v>0</v>
      </c>
      <c r="O17" s="301" t="s">
        <v>24</v>
      </c>
      <c r="P17" s="301">
        <v>0.125</v>
      </c>
      <c r="Q17" s="301" t="s">
        <v>24</v>
      </c>
      <c r="R17" s="301">
        <v>1.6659999999999999</v>
      </c>
      <c r="S17" s="301" t="s">
        <v>24</v>
      </c>
      <c r="T17" s="301">
        <v>1.25</v>
      </c>
      <c r="U17" s="301" t="s">
        <v>25</v>
      </c>
      <c r="V17" s="313">
        <f>INT(N17*$N$3)</f>
        <v>0</v>
      </c>
      <c r="W17" s="301" t="s">
        <v>26</v>
      </c>
    </row>
    <row r="18" spans="2:27">
      <c r="B18" s="298"/>
      <c r="C18" s="298"/>
      <c r="D18" s="299"/>
      <c r="E18" s="315"/>
      <c r="F18" s="311"/>
      <c r="G18" s="300"/>
      <c r="H18" s="298"/>
      <c r="I18" s="298"/>
    </row>
    <row r="19" spans="2:27">
      <c r="B19" s="298"/>
      <c r="C19" s="298"/>
      <c r="D19" s="299"/>
      <c r="E19" s="315"/>
      <c r="F19" s="314"/>
      <c r="G19" s="300"/>
      <c r="H19" s="298"/>
      <c r="I19" s="298"/>
    </row>
    <row r="20" spans="2:27">
      <c r="B20" s="298"/>
      <c r="C20" s="298" t="s">
        <v>27</v>
      </c>
      <c r="D20" s="299"/>
      <c r="E20" s="299"/>
      <c r="F20" s="300"/>
      <c r="G20" s="300">
        <f>SUM(G16:G19)</f>
        <v>23389</v>
      </c>
      <c r="H20" s="298"/>
      <c r="I20" s="298"/>
    </row>
    <row r="21" spans="2:27">
      <c r="B21" s="297" t="s">
        <v>19</v>
      </c>
      <c r="C21" s="298"/>
      <c r="D21" s="299"/>
      <c r="E21" s="299"/>
      <c r="F21" s="300"/>
      <c r="G21" s="300"/>
      <c r="H21" s="298"/>
      <c r="I21" s="298"/>
    </row>
    <row r="22" spans="2:27">
      <c r="B22" s="299" t="s">
        <v>38</v>
      </c>
      <c r="C22" s="298"/>
      <c r="D22" s="299"/>
      <c r="E22" s="299"/>
      <c r="F22" s="300"/>
      <c r="G22" s="300">
        <f>G9+G14+G20</f>
        <v>39630</v>
      </c>
      <c r="H22" s="298"/>
      <c r="I22" s="298"/>
    </row>
    <row r="23" spans="2:27">
      <c r="B23" s="297" t="s">
        <v>11</v>
      </c>
      <c r="C23" s="298"/>
      <c r="D23" s="299"/>
      <c r="E23" s="299"/>
      <c r="F23" s="300"/>
      <c r="G23" s="299"/>
      <c r="H23" s="298"/>
      <c r="I23" s="298"/>
    </row>
    <row r="24" spans="2:27">
      <c r="B24" s="297"/>
      <c r="C24" s="298"/>
      <c r="D24" s="299"/>
      <c r="E24" s="299"/>
      <c r="F24" s="300"/>
      <c r="G24" s="299"/>
      <c r="H24" s="298"/>
      <c r="I24" s="298"/>
      <c r="Z24" s="320">
        <v>32107</v>
      </c>
      <c r="AA24" s="320">
        <v>7050</v>
      </c>
    </row>
    <row r="25" spans="2:27">
      <c r="B25" s="297" t="s">
        <v>11</v>
      </c>
      <c r="C25" s="298"/>
      <c r="D25" s="299"/>
      <c r="E25" s="299"/>
      <c r="F25" s="300"/>
      <c r="G25" s="299"/>
      <c r="H25" s="298"/>
      <c r="I25" s="298"/>
      <c r="J25" s="304"/>
      <c r="K25" s="305"/>
    </row>
    <row r="26" spans="2:27">
      <c r="B26" s="298" t="s">
        <v>186</v>
      </c>
      <c r="C26" s="298" t="s">
        <v>187</v>
      </c>
      <c r="D26" s="307">
        <v>3</v>
      </c>
      <c r="E26" s="308" t="s">
        <v>188</v>
      </c>
      <c r="F26" s="298"/>
      <c r="G26" s="299"/>
      <c r="H26" s="299"/>
      <c r="I26" s="299"/>
    </row>
    <row r="27" spans="2:27">
      <c r="B27" s="297" t="s">
        <v>11</v>
      </c>
      <c r="C27" s="298"/>
      <c r="D27" s="299"/>
      <c r="E27" s="299"/>
      <c r="F27" s="300"/>
      <c r="G27" s="299"/>
      <c r="H27" s="298"/>
      <c r="I27" s="298"/>
    </row>
    <row r="28" spans="2:27">
      <c r="B28" s="298" t="s">
        <v>15</v>
      </c>
      <c r="C28" s="298"/>
      <c r="D28" s="299" t="s">
        <v>317</v>
      </c>
      <c r="E28" s="299" t="s">
        <v>16</v>
      </c>
      <c r="F28" s="300" t="s">
        <v>17</v>
      </c>
      <c r="G28" s="299" t="s">
        <v>18</v>
      </c>
      <c r="H28" s="299" t="s">
        <v>475</v>
      </c>
      <c r="I28" s="299"/>
      <c r="J28" s="304"/>
      <c r="K28" s="305"/>
    </row>
    <row r="29" spans="2:27">
      <c r="B29" s="297" t="s">
        <v>19</v>
      </c>
      <c r="C29" s="298"/>
      <c r="D29" s="299"/>
      <c r="E29" s="299"/>
      <c r="F29" s="300"/>
      <c r="G29" s="299"/>
      <c r="H29" s="298"/>
      <c r="I29" s="298"/>
    </row>
    <row r="30" spans="2:27">
      <c r="B30" s="298" t="s">
        <v>20</v>
      </c>
      <c r="C30" s="309" t="str">
        <f>C26</f>
        <v>탑재형크레인트럭</v>
      </c>
      <c r="D30" s="299" t="s">
        <v>21</v>
      </c>
      <c r="E30" s="310">
        <f>(1*2503*10^-7)*1000</f>
        <v>0.25030000000000002</v>
      </c>
      <c r="F30" s="311">
        <v>32107</v>
      </c>
      <c r="G30" s="300">
        <f>INT(E30*F30)</f>
        <v>8036</v>
      </c>
      <c r="H30" s="298"/>
      <c r="I30" s="298"/>
      <c r="P30"/>
    </row>
    <row r="31" spans="2:27">
      <c r="B31" s="298"/>
      <c r="C31" s="298"/>
      <c r="D31" s="314"/>
      <c r="E31" s="315"/>
      <c r="F31" s="314"/>
      <c r="G31" s="300"/>
      <c r="H31" s="298"/>
      <c r="I31" s="298"/>
    </row>
    <row r="32" spans="2:27">
      <c r="B32" s="298"/>
      <c r="C32" s="298" t="s">
        <v>27</v>
      </c>
      <c r="D32" s="314"/>
      <c r="E32" s="315"/>
      <c r="F32" s="314"/>
      <c r="G32" s="300">
        <f>SUM(G30:G31)</f>
        <v>8036</v>
      </c>
      <c r="H32" s="298"/>
      <c r="I32" s="298"/>
    </row>
    <row r="33" spans="2:9">
      <c r="B33" s="297" t="s">
        <v>19</v>
      </c>
      <c r="C33" s="298"/>
      <c r="D33" s="299"/>
      <c r="E33" s="315"/>
      <c r="F33" s="314"/>
      <c r="G33" s="300"/>
      <c r="H33" s="298"/>
      <c r="I33" s="298"/>
    </row>
    <row r="34" spans="2:9">
      <c r="B34" s="298" t="s">
        <v>29</v>
      </c>
      <c r="C34" s="298" t="s">
        <v>30</v>
      </c>
      <c r="D34" s="299" t="s">
        <v>31</v>
      </c>
      <c r="E34" s="316">
        <v>3.1</v>
      </c>
      <c r="F34" s="311">
        <f>N1</f>
        <v>933</v>
      </c>
      <c r="G34" s="300">
        <f>INT(E34*F34)</f>
        <v>2892</v>
      </c>
      <c r="H34" s="298"/>
      <c r="I34" s="298"/>
    </row>
    <row r="35" spans="2:9">
      <c r="B35" s="298"/>
      <c r="C35" s="298" t="s">
        <v>33</v>
      </c>
      <c r="D35" s="299" t="s">
        <v>34</v>
      </c>
      <c r="E35" s="317">
        <v>0.2</v>
      </c>
      <c r="F35" s="314"/>
      <c r="G35" s="318">
        <f>INT(E35*G34)</f>
        <v>578</v>
      </c>
      <c r="H35" s="298"/>
      <c r="I35" s="298"/>
    </row>
    <row r="36" spans="2:9">
      <c r="B36" s="314"/>
      <c r="C36" s="314"/>
      <c r="D36" s="314"/>
      <c r="E36" s="315"/>
      <c r="F36" s="314"/>
      <c r="G36" s="300"/>
      <c r="H36" s="298"/>
      <c r="I36" s="298"/>
    </row>
    <row r="37" spans="2:9">
      <c r="B37" s="314"/>
      <c r="C37" s="298" t="s">
        <v>27</v>
      </c>
      <c r="D37" s="314"/>
      <c r="E37" s="315"/>
      <c r="F37" s="314"/>
      <c r="G37" s="300">
        <f>SUM(G34:G36)</f>
        <v>3470</v>
      </c>
      <c r="H37" s="298"/>
      <c r="I37" s="298"/>
    </row>
    <row r="38" spans="2:9">
      <c r="B38" s="297" t="s">
        <v>19</v>
      </c>
      <c r="C38" s="298"/>
      <c r="D38" s="299"/>
      <c r="E38" s="315"/>
      <c r="F38" s="314"/>
      <c r="G38" s="300"/>
      <c r="H38" s="298"/>
      <c r="I38" s="298"/>
    </row>
    <row r="39" spans="2:9">
      <c r="B39" s="298" t="s">
        <v>37</v>
      </c>
      <c r="C39" s="298" t="s">
        <v>189</v>
      </c>
      <c r="D39" s="299" t="s">
        <v>473</v>
      </c>
      <c r="E39" s="319">
        <v>1</v>
      </c>
      <c r="F39" s="311">
        <f>$V$11</f>
        <v>21911</v>
      </c>
      <c r="G39" s="300">
        <f>INT(E39*F39)</f>
        <v>21911</v>
      </c>
      <c r="H39" s="298"/>
      <c r="I39" s="298"/>
    </row>
    <row r="40" spans="2:9">
      <c r="B40" s="298"/>
      <c r="C40" s="298"/>
      <c r="D40" s="299"/>
      <c r="E40" s="315"/>
      <c r="F40" s="311"/>
      <c r="G40" s="300"/>
      <c r="H40" s="298"/>
      <c r="I40" s="298"/>
    </row>
    <row r="41" spans="2:9">
      <c r="B41" s="298"/>
      <c r="C41" s="298"/>
      <c r="D41" s="299"/>
      <c r="E41" s="315"/>
      <c r="F41" s="311"/>
      <c r="G41" s="300"/>
      <c r="H41" s="298"/>
      <c r="I41" s="298"/>
    </row>
    <row r="42" spans="2:9">
      <c r="B42" s="298"/>
      <c r="C42" s="298"/>
      <c r="D42" s="299"/>
      <c r="E42" s="315"/>
      <c r="F42" s="314"/>
      <c r="G42" s="300"/>
      <c r="H42" s="298"/>
      <c r="I42" s="298"/>
    </row>
    <row r="43" spans="2:9">
      <c r="B43" s="298"/>
      <c r="C43" s="298" t="s">
        <v>27</v>
      </c>
      <c r="D43" s="299"/>
      <c r="E43" s="299"/>
      <c r="F43" s="300"/>
      <c r="G43" s="300">
        <f>SUM(G39:G42)</f>
        <v>21911</v>
      </c>
      <c r="H43" s="298"/>
      <c r="I43" s="298"/>
    </row>
    <row r="44" spans="2:9">
      <c r="B44" s="297" t="s">
        <v>19</v>
      </c>
      <c r="C44" s="298"/>
      <c r="D44" s="299"/>
      <c r="E44" s="299"/>
      <c r="F44" s="300"/>
      <c r="G44" s="300"/>
      <c r="H44" s="298"/>
      <c r="I44" s="298"/>
    </row>
    <row r="45" spans="2:9">
      <c r="B45" s="299" t="s">
        <v>38</v>
      </c>
      <c r="C45" s="298"/>
      <c r="D45" s="299"/>
      <c r="E45" s="299"/>
      <c r="F45" s="300"/>
      <c r="G45" s="300">
        <f>G32+G37+G43</f>
        <v>33417</v>
      </c>
      <c r="H45" s="298"/>
      <c r="I45" s="298"/>
    </row>
    <row r="46" spans="2:9">
      <c r="B46" s="297" t="s">
        <v>11</v>
      </c>
      <c r="C46" s="298"/>
      <c r="D46" s="299"/>
      <c r="E46" s="299"/>
      <c r="F46" s="300"/>
      <c r="G46" s="299"/>
      <c r="H46" s="298"/>
      <c r="I46" s="298"/>
    </row>
    <row r="47" spans="2:9">
      <c r="B47" s="299"/>
      <c r="C47" s="298"/>
      <c r="D47" s="299"/>
      <c r="E47" s="299"/>
      <c r="F47" s="300"/>
      <c r="G47" s="300"/>
      <c r="H47" s="298"/>
      <c r="I47" s="298"/>
    </row>
    <row r="48" spans="2:9">
      <c r="B48" s="297"/>
      <c r="C48" s="298"/>
      <c r="D48" s="299"/>
      <c r="E48" s="299"/>
      <c r="F48" s="300"/>
      <c r="G48" s="299"/>
      <c r="H48" s="298"/>
      <c r="I48" s="298"/>
    </row>
    <row r="49" spans="2:16">
      <c r="C49" s="297"/>
      <c r="D49" s="298"/>
      <c r="E49" s="299"/>
      <c r="F49" s="299"/>
      <c r="G49" s="300"/>
      <c r="H49" s="299"/>
      <c r="I49" s="298"/>
    </row>
    <row r="50" spans="2:16">
      <c r="C50" s="297"/>
      <c r="D50" s="298"/>
      <c r="E50" s="299"/>
      <c r="F50" s="299"/>
      <c r="G50" s="300"/>
      <c r="H50" s="299"/>
      <c r="I50" s="298"/>
    </row>
    <row r="51" spans="2:16">
      <c r="C51" s="297"/>
      <c r="D51" s="298"/>
      <c r="E51" s="299"/>
      <c r="F51" s="299"/>
      <c r="G51" s="300"/>
      <c r="H51" s="299"/>
      <c r="I51" s="298"/>
    </row>
    <row r="53" spans="2:16" hidden="1"/>
    <row r="54" spans="2:16" hidden="1">
      <c r="B54" s="297" t="s">
        <v>11</v>
      </c>
      <c r="C54" s="298"/>
      <c r="D54" s="299"/>
      <c r="E54" s="299"/>
      <c r="F54" s="300"/>
      <c r="G54" s="299"/>
      <c r="H54" s="298"/>
      <c r="I54" s="298"/>
      <c r="J54" s="304"/>
      <c r="K54" s="305"/>
    </row>
    <row r="55" spans="2:16" hidden="1">
      <c r="B55" s="298" t="s">
        <v>186</v>
      </c>
      <c r="C55" s="298" t="s">
        <v>190</v>
      </c>
      <c r="D55" s="307" t="s">
        <v>191</v>
      </c>
      <c r="E55" s="308"/>
      <c r="F55" s="298"/>
      <c r="G55" s="299"/>
      <c r="H55" s="299"/>
      <c r="I55" s="299"/>
    </row>
    <row r="56" spans="2:16" hidden="1">
      <c r="B56" s="297" t="s">
        <v>11</v>
      </c>
      <c r="C56" s="298"/>
      <c r="D56" s="299"/>
      <c r="E56" s="299"/>
      <c r="F56" s="300"/>
      <c r="G56" s="299"/>
      <c r="H56" s="298"/>
      <c r="I56" s="298"/>
    </row>
    <row r="57" spans="2:16" hidden="1">
      <c r="B57" s="298" t="s">
        <v>15</v>
      </c>
      <c r="C57" s="298"/>
      <c r="D57" s="299" t="s">
        <v>317</v>
      </c>
      <c r="E57" s="299" t="s">
        <v>16</v>
      </c>
      <c r="F57" s="300" t="s">
        <v>17</v>
      </c>
      <c r="G57" s="299" t="s">
        <v>18</v>
      </c>
      <c r="H57" s="299" t="s">
        <v>475</v>
      </c>
      <c r="I57" s="299"/>
      <c r="J57" s="304"/>
      <c r="K57" s="305"/>
    </row>
    <row r="58" spans="2:16" hidden="1">
      <c r="B58" s="297" t="s">
        <v>19</v>
      </c>
      <c r="C58" s="298"/>
      <c r="D58" s="299"/>
      <c r="E58" s="299"/>
      <c r="F58" s="300"/>
      <c r="G58" s="299"/>
      <c r="H58" s="298"/>
      <c r="I58" s="298"/>
    </row>
    <row r="59" spans="2:16" hidden="1">
      <c r="B59" s="298" t="s">
        <v>20</v>
      </c>
      <c r="C59" s="309" t="str">
        <f>C55</f>
        <v xml:space="preserve">캇타기  </v>
      </c>
      <c r="D59" s="299" t="s">
        <v>21</v>
      </c>
      <c r="E59" s="310">
        <v>0.62660000000000005</v>
      </c>
      <c r="F59" s="311">
        <v>2331</v>
      </c>
      <c r="G59" s="300">
        <f>INT(E59*F59)</f>
        <v>1460</v>
      </c>
      <c r="H59" s="298"/>
      <c r="I59" s="298"/>
      <c r="P59"/>
    </row>
    <row r="60" spans="2:16" hidden="1">
      <c r="B60" s="298"/>
      <c r="C60" s="298"/>
      <c r="D60" s="314"/>
      <c r="E60" s="315"/>
      <c r="F60" s="314"/>
      <c r="G60" s="300"/>
      <c r="H60" s="298"/>
      <c r="I60" s="298"/>
    </row>
    <row r="61" spans="2:16" hidden="1">
      <c r="B61" s="298"/>
      <c r="C61" s="298" t="s">
        <v>27</v>
      </c>
      <c r="D61" s="314"/>
      <c r="E61" s="315"/>
      <c r="F61" s="314"/>
      <c r="G61" s="300">
        <f>SUM(G59:G60)</f>
        <v>1460</v>
      </c>
      <c r="H61" s="298"/>
      <c r="I61" s="298"/>
    </row>
    <row r="62" spans="2:16" hidden="1">
      <c r="B62" s="297" t="s">
        <v>19</v>
      </c>
      <c r="C62" s="298"/>
      <c r="D62" s="299"/>
      <c r="E62" s="315"/>
      <c r="F62" s="314"/>
      <c r="G62" s="300"/>
      <c r="H62" s="298"/>
      <c r="I62" s="298"/>
    </row>
    <row r="63" spans="2:16" hidden="1">
      <c r="B63" s="298" t="s">
        <v>29</v>
      </c>
      <c r="C63" s="298" t="s">
        <v>12</v>
      </c>
      <c r="D63" s="299" t="s">
        <v>31</v>
      </c>
      <c r="E63" s="316">
        <v>5.6</v>
      </c>
      <c r="F63" s="311">
        <f>N2</f>
        <v>1113</v>
      </c>
      <c r="G63" s="300">
        <f>INT(E63*F63)</f>
        <v>6232</v>
      </c>
      <c r="H63" s="298"/>
      <c r="I63" s="298"/>
    </row>
    <row r="64" spans="2:16" hidden="1">
      <c r="B64" s="298"/>
      <c r="C64" s="298" t="s">
        <v>33</v>
      </c>
      <c r="D64" s="299" t="s">
        <v>34</v>
      </c>
      <c r="E64" s="317">
        <v>0.2</v>
      </c>
      <c r="F64" s="314"/>
      <c r="G64" s="318">
        <f>INT(E64*G63)</f>
        <v>1246</v>
      </c>
      <c r="H64" s="298"/>
      <c r="I64" s="298"/>
    </row>
    <row r="65" spans="2:11" hidden="1">
      <c r="B65" s="314"/>
      <c r="C65" s="314"/>
      <c r="D65" s="314"/>
      <c r="E65" s="315"/>
      <c r="F65" s="314"/>
      <c r="G65" s="300"/>
      <c r="H65" s="298"/>
      <c r="I65" s="298"/>
    </row>
    <row r="66" spans="2:11" hidden="1">
      <c r="B66" s="314"/>
      <c r="C66" s="298" t="s">
        <v>27</v>
      </c>
      <c r="D66" s="314"/>
      <c r="E66" s="315"/>
      <c r="F66" s="314"/>
      <c r="G66" s="300">
        <f>SUM(G63:G65)</f>
        <v>7478</v>
      </c>
      <c r="H66" s="298"/>
      <c r="I66" s="298"/>
    </row>
    <row r="67" spans="2:11" hidden="1">
      <c r="B67" s="297" t="s">
        <v>19</v>
      </c>
      <c r="C67" s="298"/>
      <c r="D67" s="299"/>
      <c r="E67" s="315"/>
      <c r="F67" s="314"/>
      <c r="G67" s="300"/>
      <c r="H67" s="298"/>
      <c r="I67" s="298"/>
    </row>
    <row r="68" spans="2:11" hidden="1">
      <c r="B68" s="298" t="s">
        <v>37</v>
      </c>
      <c r="C68" s="298" t="s">
        <v>192</v>
      </c>
      <c r="D68" s="299" t="s">
        <v>473</v>
      </c>
      <c r="E68" s="319">
        <v>1</v>
      </c>
      <c r="F68" s="311">
        <f>V13</f>
        <v>23389</v>
      </c>
      <c r="G68" s="300">
        <f>INT(E68*F68)</f>
        <v>23389</v>
      </c>
      <c r="H68" s="298"/>
      <c r="I68" s="298"/>
    </row>
    <row r="69" spans="2:11" hidden="1">
      <c r="B69" s="298"/>
      <c r="C69" s="298"/>
      <c r="D69" s="299"/>
      <c r="E69" s="315"/>
      <c r="F69" s="311"/>
      <c r="G69" s="300"/>
      <c r="H69" s="298"/>
      <c r="I69" s="298"/>
    </row>
    <row r="70" spans="2:11" hidden="1">
      <c r="B70" s="298"/>
      <c r="C70" s="298"/>
      <c r="D70" s="299"/>
      <c r="E70" s="315"/>
      <c r="F70" s="311"/>
      <c r="G70" s="300"/>
      <c r="H70" s="298"/>
      <c r="I70" s="298"/>
    </row>
    <row r="71" spans="2:11" hidden="1">
      <c r="B71" s="298"/>
      <c r="C71" s="298"/>
      <c r="D71" s="299"/>
      <c r="E71" s="315"/>
      <c r="F71" s="314"/>
      <c r="G71" s="300"/>
      <c r="H71" s="298"/>
      <c r="I71" s="298"/>
    </row>
    <row r="72" spans="2:11" hidden="1">
      <c r="B72" s="298"/>
      <c r="C72" s="298" t="s">
        <v>27</v>
      </c>
      <c r="D72" s="299"/>
      <c r="E72" s="299"/>
      <c r="F72" s="300"/>
      <c r="G72" s="300">
        <f>SUM(G68:G71)</f>
        <v>23389</v>
      </c>
      <c r="H72" s="298"/>
      <c r="I72" s="298"/>
    </row>
    <row r="73" spans="2:11" hidden="1">
      <c r="B73" s="297" t="s">
        <v>19</v>
      </c>
      <c r="C73" s="298"/>
      <c r="D73" s="299"/>
      <c r="E73" s="299"/>
      <c r="F73" s="300"/>
      <c r="G73" s="300"/>
      <c r="H73" s="298"/>
      <c r="I73" s="298"/>
    </row>
    <row r="74" spans="2:11" hidden="1">
      <c r="B74" s="299" t="s">
        <v>38</v>
      </c>
      <c r="C74" s="298"/>
      <c r="D74" s="299"/>
      <c r="E74" s="299"/>
      <c r="F74" s="300"/>
      <c r="G74" s="300">
        <f>G61+G66+G72</f>
        <v>32327</v>
      </c>
      <c r="H74" s="298"/>
      <c r="I74" s="298"/>
    </row>
    <row r="75" spans="2:11" hidden="1">
      <c r="B75" s="297" t="s">
        <v>11</v>
      </c>
      <c r="C75" s="298"/>
      <c r="D75" s="299"/>
      <c r="E75" s="299"/>
      <c r="F75" s="300"/>
      <c r="G75" s="299"/>
      <c r="H75" s="298"/>
      <c r="I75" s="298"/>
    </row>
    <row r="76" spans="2:11" hidden="1">
      <c r="B76" s="297"/>
      <c r="C76" s="298"/>
      <c r="D76" s="299"/>
      <c r="E76" s="299"/>
      <c r="F76" s="300"/>
      <c r="G76" s="299"/>
      <c r="H76" s="298"/>
      <c r="I76" s="298"/>
    </row>
    <row r="77" spans="2:11" hidden="1">
      <c r="B77" s="297" t="s">
        <v>11</v>
      </c>
      <c r="C77" s="298"/>
      <c r="D77" s="299"/>
      <c r="E77" s="299"/>
      <c r="F77" s="300"/>
      <c r="G77" s="299"/>
      <c r="H77" s="298"/>
      <c r="I77" s="298"/>
      <c r="J77" s="304"/>
      <c r="K77" s="305"/>
    </row>
    <row r="78" spans="2:11" hidden="1">
      <c r="B78" s="298" t="s">
        <v>186</v>
      </c>
      <c r="C78" s="298" t="s">
        <v>193</v>
      </c>
      <c r="D78" s="307">
        <v>0.7</v>
      </c>
      <c r="E78" s="308" t="s">
        <v>744</v>
      </c>
      <c r="F78" s="298"/>
      <c r="G78" s="299"/>
      <c r="H78" s="299"/>
      <c r="I78" s="299"/>
    </row>
    <row r="79" spans="2:11" hidden="1">
      <c r="B79" s="297" t="s">
        <v>11</v>
      </c>
      <c r="C79" s="298"/>
      <c r="D79" s="299"/>
      <c r="E79" s="299"/>
      <c r="F79" s="300"/>
      <c r="G79" s="299"/>
      <c r="H79" s="298"/>
      <c r="I79" s="298"/>
    </row>
    <row r="80" spans="2:11" hidden="1">
      <c r="B80" s="298" t="s">
        <v>15</v>
      </c>
      <c r="C80" s="298"/>
      <c r="D80" s="299" t="s">
        <v>317</v>
      </c>
      <c r="E80" s="299" t="s">
        <v>16</v>
      </c>
      <c r="F80" s="300" t="s">
        <v>17</v>
      </c>
      <c r="G80" s="299" t="s">
        <v>18</v>
      </c>
      <c r="H80" s="299" t="s">
        <v>475</v>
      </c>
      <c r="I80" s="299"/>
      <c r="J80" s="304"/>
      <c r="K80" s="305"/>
    </row>
    <row r="81" spans="2:16" hidden="1">
      <c r="B81" s="297" t="s">
        <v>19</v>
      </c>
      <c r="C81" s="298"/>
      <c r="D81" s="299"/>
      <c r="E81" s="299"/>
      <c r="F81" s="300"/>
      <c r="G81" s="299"/>
      <c r="H81" s="298"/>
      <c r="I81" s="298"/>
    </row>
    <row r="82" spans="2:16" hidden="1">
      <c r="B82" s="298" t="s">
        <v>20</v>
      </c>
      <c r="C82" s="309" t="s">
        <v>194</v>
      </c>
      <c r="D82" s="299" t="s">
        <v>21</v>
      </c>
      <c r="E82" s="310">
        <v>0.3125</v>
      </c>
      <c r="F82" s="311">
        <v>93042</v>
      </c>
      <c r="G82" s="300">
        <f>INT(E82*F82)</f>
        <v>29075</v>
      </c>
      <c r="H82" s="298"/>
      <c r="I82" s="298"/>
      <c r="P82"/>
    </row>
    <row r="83" spans="2:16" hidden="1">
      <c r="B83" s="298"/>
      <c r="C83" s="309"/>
      <c r="D83" s="299"/>
      <c r="E83" s="310"/>
      <c r="F83" s="311"/>
      <c r="G83" s="300"/>
      <c r="H83" s="298"/>
      <c r="I83" s="298"/>
      <c r="P83"/>
    </row>
    <row r="84" spans="2:16" hidden="1">
      <c r="B84" s="298"/>
      <c r="C84" s="309" t="s">
        <v>195</v>
      </c>
      <c r="D84" s="299" t="s">
        <v>21</v>
      </c>
      <c r="E84" s="310">
        <v>0.65329999999999999</v>
      </c>
      <c r="F84" s="311">
        <v>15000</v>
      </c>
      <c r="G84" s="300">
        <f>INT(E84*F84)</f>
        <v>9799</v>
      </c>
      <c r="H84" s="298"/>
      <c r="I84" s="298"/>
      <c r="P84"/>
    </row>
    <row r="85" spans="2:16" hidden="1">
      <c r="B85" s="298"/>
      <c r="C85" s="298"/>
      <c r="D85" s="314"/>
      <c r="E85" s="315"/>
      <c r="F85" s="314"/>
      <c r="G85" s="300"/>
      <c r="H85" s="298"/>
      <c r="I85" s="298"/>
    </row>
    <row r="86" spans="2:16" hidden="1">
      <c r="B86" s="298"/>
      <c r="C86" s="298" t="s">
        <v>27</v>
      </c>
      <c r="D86" s="314"/>
      <c r="E86" s="315"/>
      <c r="F86" s="314"/>
      <c r="G86" s="300">
        <f>SUM(G82:G85)</f>
        <v>38874</v>
      </c>
      <c r="H86" s="298"/>
      <c r="I86" s="298"/>
    </row>
    <row r="87" spans="2:16" hidden="1">
      <c r="B87" s="297" t="s">
        <v>19</v>
      </c>
      <c r="C87" s="298"/>
      <c r="D87" s="299"/>
      <c r="E87" s="315"/>
      <c r="F87" s="314"/>
      <c r="G87" s="300"/>
      <c r="H87" s="298"/>
      <c r="I87" s="298"/>
    </row>
    <row r="88" spans="2:16" hidden="1">
      <c r="B88" s="298" t="s">
        <v>29</v>
      </c>
      <c r="C88" s="298" t="s">
        <v>9</v>
      </c>
      <c r="D88" s="299" t="s">
        <v>31</v>
      </c>
      <c r="E88" s="316">
        <v>11.6</v>
      </c>
      <c r="F88" s="311">
        <f>N1</f>
        <v>933</v>
      </c>
      <c r="G88" s="300">
        <f>INT(E88*F88)</f>
        <v>10822</v>
      </c>
      <c r="H88" s="298"/>
      <c r="I88" s="298"/>
    </row>
    <row r="89" spans="2:16" hidden="1">
      <c r="B89" s="298"/>
      <c r="C89" s="298" t="s">
        <v>33</v>
      </c>
      <c r="D89" s="299" t="s">
        <v>34</v>
      </c>
      <c r="E89" s="317">
        <v>0.22</v>
      </c>
      <c r="F89" s="314"/>
      <c r="G89" s="318">
        <f>INT(E89*G88)</f>
        <v>2380</v>
      </c>
      <c r="H89" s="298"/>
      <c r="I89" s="298"/>
    </row>
    <row r="90" spans="2:16" hidden="1">
      <c r="B90" s="314"/>
      <c r="C90" s="314"/>
      <c r="D90" s="314"/>
      <c r="E90" s="315"/>
      <c r="F90" s="314"/>
      <c r="G90" s="300"/>
      <c r="H90" s="298"/>
      <c r="I90" s="298"/>
    </row>
    <row r="91" spans="2:16" hidden="1">
      <c r="B91" s="314"/>
      <c r="C91" s="298" t="s">
        <v>27</v>
      </c>
      <c r="D91" s="314"/>
      <c r="E91" s="315"/>
      <c r="F91" s="314"/>
      <c r="G91" s="300">
        <f>SUM(G88:G90)</f>
        <v>13202</v>
      </c>
      <c r="H91" s="298"/>
      <c r="I91" s="298"/>
    </row>
    <row r="92" spans="2:16" hidden="1">
      <c r="B92" s="297" t="s">
        <v>19</v>
      </c>
      <c r="C92" s="298"/>
      <c r="D92" s="299"/>
      <c r="E92" s="315"/>
      <c r="F92" s="314"/>
      <c r="G92" s="300"/>
      <c r="H92" s="298"/>
      <c r="I92" s="298"/>
    </row>
    <row r="93" spans="2:16" hidden="1">
      <c r="B93" s="298" t="s">
        <v>37</v>
      </c>
      <c r="C93" s="298" t="s">
        <v>196</v>
      </c>
      <c r="D93" s="299" t="s">
        <v>473</v>
      </c>
      <c r="E93" s="319">
        <v>1</v>
      </c>
      <c r="F93" s="311">
        <f>V7</f>
        <v>23389</v>
      </c>
      <c r="G93" s="300">
        <f>INT(E93*F93)</f>
        <v>23389</v>
      </c>
      <c r="H93" s="298"/>
      <c r="I93" s="298"/>
    </row>
    <row r="94" spans="2:16" hidden="1">
      <c r="B94" s="298"/>
      <c r="C94" s="298"/>
      <c r="D94" s="299"/>
      <c r="E94" s="315"/>
      <c r="F94" s="311"/>
      <c r="G94" s="300"/>
      <c r="H94" s="298"/>
      <c r="I94" s="298"/>
    </row>
    <row r="95" spans="2:16" hidden="1">
      <c r="B95" s="298"/>
      <c r="C95" s="298"/>
      <c r="D95" s="299"/>
      <c r="E95" s="315"/>
      <c r="F95" s="311"/>
      <c r="G95" s="300"/>
      <c r="H95" s="298"/>
      <c r="I95" s="298"/>
    </row>
    <row r="96" spans="2:16" hidden="1">
      <c r="B96" s="298"/>
      <c r="C96" s="298"/>
      <c r="D96" s="299"/>
      <c r="E96" s="315"/>
      <c r="F96" s="314"/>
      <c r="G96" s="300"/>
      <c r="H96" s="298"/>
      <c r="I96" s="298"/>
    </row>
    <row r="97" spans="2:16" hidden="1">
      <c r="B97" s="298"/>
      <c r="C97" s="298" t="s">
        <v>27</v>
      </c>
      <c r="D97" s="299"/>
      <c r="E97" s="299"/>
      <c r="F97" s="300"/>
      <c r="G97" s="300">
        <f>SUM(G93:G96)</f>
        <v>23389</v>
      </c>
      <c r="H97" s="298"/>
      <c r="I97" s="298"/>
    </row>
    <row r="98" spans="2:16" hidden="1">
      <c r="B98" s="297" t="s">
        <v>19</v>
      </c>
      <c r="C98" s="298"/>
      <c r="D98" s="299"/>
      <c r="E98" s="299"/>
      <c r="F98" s="300"/>
      <c r="G98" s="300"/>
      <c r="H98" s="298"/>
      <c r="I98" s="298"/>
    </row>
    <row r="99" spans="2:16" hidden="1">
      <c r="B99" s="299" t="s">
        <v>38</v>
      </c>
      <c r="C99" s="298"/>
      <c r="D99" s="299"/>
      <c r="E99" s="299"/>
      <c r="F99" s="300"/>
      <c r="G99" s="300">
        <f>G86+G91+G97</f>
        <v>75465</v>
      </c>
      <c r="H99" s="298"/>
      <c r="I99" s="298"/>
    </row>
    <row r="100" spans="2:16" hidden="1">
      <c r="B100" s="297" t="s">
        <v>11</v>
      </c>
      <c r="C100" s="298"/>
      <c r="D100" s="299"/>
      <c r="E100" s="299"/>
      <c r="F100" s="300"/>
      <c r="G100" s="299"/>
      <c r="H100" s="298"/>
      <c r="I100" s="298"/>
    </row>
    <row r="101" spans="2:16" hidden="1"/>
    <row r="102" spans="2:16" hidden="1"/>
    <row r="103" spans="2:16" hidden="1"/>
    <row r="104" spans="2:16" hidden="1"/>
    <row r="105" spans="2:16" hidden="1"/>
    <row r="106" spans="2:16" hidden="1">
      <c r="B106" s="297" t="s">
        <v>11</v>
      </c>
      <c r="C106" s="298"/>
      <c r="D106" s="299"/>
      <c r="E106" s="299"/>
      <c r="F106" s="300"/>
      <c r="G106" s="299"/>
      <c r="H106" s="298"/>
      <c r="I106" s="298"/>
      <c r="J106" s="304"/>
      <c r="K106" s="305"/>
    </row>
    <row r="107" spans="2:16" hidden="1">
      <c r="B107" s="298" t="s">
        <v>186</v>
      </c>
      <c r="C107" s="298" t="s">
        <v>197</v>
      </c>
      <c r="D107" s="307" t="s">
        <v>198</v>
      </c>
      <c r="E107" s="308"/>
      <c r="F107" s="298"/>
      <c r="G107" s="299"/>
      <c r="H107" s="299"/>
      <c r="I107" s="299"/>
    </row>
    <row r="108" spans="2:16" hidden="1">
      <c r="B108" s="297" t="s">
        <v>11</v>
      </c>
      <c r="C108" s="298"/>
      <c r="D108" s="299"/>
      <c r="E108" s="299"/>
      <c r="F108" s="300"/>
      <c r="G108" s="299"/>
      <c r="H108" s="298"/>
      <c r="I108" s="298"/>
    </row>
    <row r="109" spans="2:16" hidden="1">
      <c r="B109" s="298" t="s">
        <v>15</v>
      </c>
      <c r="C109" s="298"/>
      <c r="D109" s="299" t="s">
        <v>317</v>
      </c>
      <c r="E109" s="299" t="s">
        <v>16</v>
      </c>
      <c r="F109" s="300" t="s">
        <v>17</v>
      </c>
      <c r="G109" s="299" t="s">
        <v>18</v>
      </c>
      <c r="H109" s="299" t="s">
        <v>475</v>
      </c>
      <c r="I109" s="299"/>
      <c r="J109" s="304"/>
      <c r="K109" s="305"/>
    </row>
    <row r="110" spans="2:16" hidden="1">
      <c r="B110" s="297" t="s">
        <v>19</v>
      </c>
      <c r="C110" s="298"/>
      <c r="D110" s="299"/>
      <c r="E110" s="299"/>
      <c r="F110" s="300"/>
      <c r="G110" s="299"/>
      <c r="H110" s="298"/>
      <c r="I110" s="298"/>
    </row>
    <row r="111" spans="2:16" hidden="1">
      <c r="B111" s="298" t="s">
        <v>20</v>
      </c>
      <c r="C111" s="309" t="str">
        <f>C107</f>
        <v>플레이트콤팩터</v>
      </c>
      <c r="D111" s="299" t="s">
        <v>21</v>
      </c>
      <c r="E111" s="310">
        <v>0.36399999999999999</v>
      </c>
      <c r="F111" s="341">
        <v>1520.49</v>
      </c>
      <c r="G111" s="300">
        <f>INT(E111*F111)</f>
        <v>553</v>
      </c>
      <c r="H111" s="298"/>
      <c r="I111" s="298"/>
      <c r="P111"/>
    </row>
    <row r="112" spans="2:16" hidden="1">
      <c r="B112" s="298"/>
      <c r="C112" s="298"/>
      <c r="D112" s="314"/>
      <c r="E112" s="315"/>
      <c r="F112" s="314"/>
      <c r="G112" s="300"/>
      <c r="H112" s="298"/>
      <c r="I112" s="298"/>
    </row>
    <row r="113" spans="2:9" hidden="1">
      <c r="B113" s="298"/>
      <c r="C113" s="298" t="s">
        <v>27</v>
      </c>
      <c r="D113" s="314"/>
      <c r="E113" s="315"/>
      <c r="F113" s="314"/>
      <c r="G113" s="300">
        <f>SUM(G111:G112)</f>
        <v>553</v>
      </c>
      <c r="H113" s="298"/>
      <c r="I113" s="298"/>
    </row>
    <row r="114" spans="2:9" hidden="1">
      <c r="B114" s="297" t="s">
        <v>19</v>
      </c>
      <c r="C114" s="298"/>
      <c r="D114" s="299"/>
      <c r="E114" s="315"/>
      <c r="F114" s="314"/>
      <c r="G114" s="300"/>
      <c r="H114" s="298"/>
      <c r="I114" s="298"/>
    </row>
    <row r="115" spans="2:9" hidden="1">
      <c r="B115" s="298" t="s">
        <v>29</v>
      </c>
      <c r="C115" s="298" t="s">
        <v>12</v>
      </c>
      <c r="D115" s="299" t="s">
        <v>31</v>
      </c>
      <c r="E115" s="316">
        <v>1</v>
      </c>
      <c r="F115" s="311">
        <f>N2</f>
        <v>1113</v>
      </c>
      <c r="G115" s="300">
        <f>INT(E115*F115)</f>
        <v>1113</v>
      </c>
      <c r="H115" s="298"/>
      <c r="I115" s="298"/>
    </row>
    <row r="116" spans="2:9" hidden="1">
      <c r="B116" s="298"/>
      <c r="C116" s="298" t="s">
        <v>33</v>
      </c>
      <c r="D116" s="299" t="s">
        <v>34</v>
      </c>
      <c r="E116" s="317">
        <v>0.2</v>
      </c>
      <c r="F116" s="314"/>
      <c r="G116" s="318">
        <f>INT(E116*G115)</f>
        <v>222</v>
      </c>
      <c r="H116" s="298"/>
      <c r="I116" s="298"/>
    </row>
    <row r="117" spans="2:9" hidden="1">
      <c r="B117" s="314"/>
      <c r="C117" s="314"/>
      <c r="D117" s="314"/>
      <c r="E117" s="315"/>
      <c r="F117" s="314"/>
      <c r="G117" s="300"/>
      <c r="H117" s="298"/>
      <c r="I117" s="298"/>
    </row>
    <row r="118" spans="2:9" hidden="1">
      <c r="B118" s="314"/>
      <c r="C118" s="298" t="s">
        <v>27</v>
      </c>
      <c r="D118" s="314"/>
      <c r="E118" s="315"/>
      <c r="F118" s="314"/>
      <c r="G118" s="300">
        <f>SUM(G115:G117)</f>
        <v>1335</v>
      </c>
      <c r="H118" s="298"/>
      <c r="I118" s="298"/>
    </row>
    <row r="119" spans="2:9" hidden="1">
      <c r="B119" s="297" t="s">
        <v>19</v>
      </c>
      <c r="C119" s="298"/>
      <c r="D119" s="299"/>
      <c r="E119" s="315"/>
      <c r="F119" s="314"/>
      <c r="G119" s="300"/>
      <c r="H119" s="298"/>
      <c r="I119" s="298"/>
    </row>
    <row r="120" spans="2:9" hidden="1">
      <c r="B120" s="298" t="s">
        <v>37</v>
      </c>
      <c r="C120" s="298" t="s">
        <v>192</v>
      </c>
      <c r="D120" s="299" t="s">
        <v>473</v>
      </c>
      <c r="E120" s="319">
        <v>1</v>
      </c>
      <c r="F120" s="311">
        <f>V13</f>
        <v>23389</v>
      </c>
      <c r="G120" s="300">
        <f>INT(E120*F120)</f>
        <v>23389</v>
      </c>
      <c r="H120" s="298"/>
      <c r="I120" s="298"/>
    </row>
    <row r="121" spans="2:9" hidden="1">
      <c r="B121" s="298"/>
      <c r="C121" s="298"/>
      <c r="D121" s="299"/>
      <c r="E121" s="315"/>
      <c r="F121" s="311"/>
      <c r="G121" s="300"/>
      <c r="H121" s="298"/>
      <c r="I121" s="298"/>
    </row>
    <row r="122" spans="2:9" hidden="1">
      <c r="B122" s="298"/>
      <c r="C122" s="298"/>
      <c r="D122" s="299"/>
      <c r="E122" s="315"/>
      <c r="F122" s="311"/>
      <c r="G122" s="300"/>
      <c r="H122" s="298"/>
      <c r="I122" s="298"/>
    </row>
    <row r="123" spans="2:9" hidden="1">
      <c r="B123" s="298"/>
      <c r="C123" s="298"/>
      <c r="D123" s="299"/>
      <c r="E123" s="315"/>
      <c r="F123" s="314"/>
      <c r="G123" s="300"/>
      <c r="H123" s="298"/>
      <c r="I123" s="298"/>
    </row>
    <row r="124" spans="2:9" hidden="1">
      <c r="B124" s="298"/>
      <c r="C124" s="298" t="s">
        <v>27</v>
      </c>
      <c r="D124" s="299"/>
      <c r="E124" s="299"/>
      <c r="F124" s="300"/>
      <c r="G124" s="300">
        <f>SUM(G120:G123)</f>
        <v>23389</v>
      </c>
      <c r="H124" s="298"/>
      <c r="I124" s="298"/>
    </row>
    <row r="125" spans="2:9" hidden="1">
      <c r="B125" s="297" t="s">
        <v>19</v>
      </c>
      <c r="C125" s="298"/>
      <c r="D125" s="299"/>
      <c r="E125" s="299"/>
      <c r="F125" s="300"/>
      <c r="G125" s="300"/>
      <c r="H125" s="298"/>
      <c r="I125" s="298"/>
    </row>
    <row r="126" spans="2:9" hidden="1">
      <c r="B126" s="299" t="s">
        <v>38</v>
      </c>
      <c r="C126" s="298"/>
      <c r="D126" s="299"/>
      <c r="E126" s="299"/>
      <c r="F126" s="300"/>
      <c r="G126" s="300">
        <f>G113+G118+G124</f>
        <v>25277</v>
      </c>
      <c r="H126" s="298"/>
      <c r="I126" s="298"/>
    </row>
    <row r="127" spans="2:9" hidden="1">
      <c r="B127" s="297" t="s">
        <v>11</v>
      </c>
      <c r="C127" s="298"/>
      <c r="D127" s="299"/>
      <c r="E127" s="299"/>
      <c r="F127" s="300"/>
      <c r="G127" s="299"/>
      <c r="H127" s="298"/>
      <c r="I127" s="298"/>
    </row>
    <row r="128" spans="2:9" hidden="1">
      <c r="B128" s="297"/>
      <c r="C128" s="298"/>
      <c r="D128" s="299"/>
      <c r="E128" s="299"/>
      <c r="F128" s="300"/>
      <c r="G128" s="299"/>
      <c r="H128" s="298"/>
      <c r="I128" s="298"/>
    </row>
    <row r="129" spans="2:16" hidden="1"/>
    <row r="130" spans="2:16" hidden="1">
      <c r="B130" s="297" t="s">
        <v>11</v>
      </c>
      <c r="C130" s="298"/>
      <c r="D130" s="299"/>
      <c r="E130" s="299"/>
      <c r="F130" s="300"/>
      <c r="G130" s="299"/>
      <c r="H130" s="298"/>
      <c r="I130" s="298"/>
      <c r="J130" s="304"/>
      <c r="K130" s="305"/>
    </row>
    <row r="131" spans="2:16" hidden="1">
      <c r="B131" s="298" t="s">
        <v>186</v>
      </c>
      <c r="C131" s="298" t="s">
        <v>199</v>
      </c>
      <c r="D131" s="308" t="s">
        <v>200</v>
      </c>
      <c r="E131" s="308"/>
      <c r="F131" s="298"/>
      <c r="G131" s="299"/>
      <c r="H131" s="299"/>
      <c r="I131" s="299"/>
    </row>
    <row r="132" spans="2:16" hidden="1">
      <c r="B132" s="297" t="s">
        <v>11</v>
      </c>
      <c r="C132" s="298"/>
      <c r="D132" s="299"/>
      <c r="E132" s="299"/>
      <c r="F132" s="300"/>
      <c r="G132" s="299"/>
      <c r="H132" s="298"/>
      <c r="I132" s="298"/>
    </row>
    <row r="133" spans="2:16" hidden="1">
      <c r="B133" s="298" t="s">
        <v>15</v>
      </c>
      <c r="C133" s="298"/>
      <c r="D133" s="299" t="s">
        <v>317</v>
      </c>
      <c r="E133" s="299" t="s">
        <v>16</v>
      </c>
      <c r="F133" s="300" t="s">
        <v>17</v>
      </c>
      <c r="G133" s="299" t="s">
        <v>18</v>
      </c>
      <c r="H133" s="299" t="s">
        <v>475</v>
      </c>
      <c r="I133" s="299"/>
      <c r="J133" s="304"/>
      <c r="K133" s="305"/>
    </row>
    <row r="134" spans="2:16" hidden="1">
      <c r="B134" s="297" t="s">
        <v>19</v>
      </c>
      <c r="C134" s="298"/>
      <c r="D134" s="299"/>
      <c r="E134" s="299"/>
      <c r="F134" s="300"/>
      <c r="G134" s="299"/>
      <c r="H134" s="298"/>
      <c r="I134" s="298"/>
    </row>
    <row r="135" spans="2:16" hidden="1">
      <c r="B135" s="298" t="s">
        <v>20</v>
      </c>
      <c r="C135" s="309" t="str">
        <f>C131</f>
        <v>진동로울러</v>
      </c>
      <c r="D135" s="299" t="s">
        <v>21</v>
      </c>
      <c r="E135" s="310">
        <v>0.2757</v>
      </c>
      <c r="F135" s="311">
        <v>5670</v>
      </c>
      <c r="G135" s="300">
        <f>INT(E135*F135)</f>
        <v>1563</v>
      </c>
      <c r="H135" s="298"/>
      <c r="I135" s="298"/>
      <c r="P135"/>
    </row>
    <row r="136" spans="2:16" hidden="1">
      <c r="B136" s="298"/>
      <c r="C136" s="298"/>
      <c r="D136" s="314"/>
      <c r="E136" s="315"/>
      <c r="F136" s="314"/>
      <c r="G136" s="300"/>
      <c r="H136" s="298"/>
      <c r="I136" s="298"/>
    </row>
    <row r="137" spans="2:16" hidden="1">
      <c r="B137" s="298"/>
      <c r="C137" s="298" t="s">
        <v>27</v>
      </c>
      <c r="D137" s="314"/>
      <c r="E137" s="315"/>
      <c r="F137" s="314"/>
      <c r="G137" s="300">
        <f>SUM(G135:G136)</f>
        <v>1563</v>
      </c>
      <c r="H137" s="298"/>
      <c r="I137" s="298"/>
    </row>
    <row r="138" spans="2:16" hidden="1">
      <c r="B138" s="297" t="s">
        <v>19</v>
      </c>
      <c r="C138" s="298"/>
      <c r="D138" s="299"/>
      <c r="E138" s="315"/>
      <c r="F138" s="314"/>
      <c r="G138" s="300"/>
      <c r="H138" s="298"/>
      <c r="I138" s="298"/>
    </row>
    <row r="139" spans="2:16" hidden="1">
      <c r="B139" s="298" t="s">
        <v>29</v>
      </c>
      <c r="C139" s="298" t="s">
        <v>9</v>
      </c>
      <c r="D139" s="299" t="s">
        <v>31</v>
      </c>
      <c r="E139" s="316">
        <v>2.2000000000000002</v>
      </c>
      <c r="F139" s="311">
        <f>N1</f>
        <v>933</v>
      </c>
      <c r="G139" s="300">
        <f>INT(E139*F139)</f>
        <v>2052</v>
      </c>
      <c r="H139" s="298"/>
      <c r="I139" s="298"/>
    </row>
    <row r="140" spans="2:16" hidden="1">
      <c r="B140" s="298"/>
      <c r="C140" s="298" t="s">
        <v>33</v>
      </c>
      <c r="D140" s="299" t="s">
        <v>34</v>
      </c>
      <c r="E140" s="317">
        <v>0.13</v>
      </c>
      <c r="F140" s="314"/>
      <c r="G140" s="318">
        <f>INT(E140*G139)</f>
        <v>266</v>
      </c>
      <c r="H140" s="298"/>
      <c r="I140" s="298"/>
    </row>
    <row r="141" spans="2:16" hidden="1">
      <c r="B141" s="314"/>
      <c r="C141" s="314"/>
      <c r="D141" s="314"/>
      <c r="E141" s="315"/>
      <c r="F141" s="314"/>
      <c r="G141" s="300"/>
      <c r="H141" s="298"/>
      <c r="I141" s="298"/>
    </row>
    <row r="142" spans="2:16" hidden="1">
      <c r="B142" s="314"/>
      <c r="C142" s="298" t="s">
        <v>27</v>
      </c>
      <c r="D142" s="314"/>
      <c r="E142" s="315"/>
      <c r="F142" s="314"/>
      <c r="G142" s="300">
        <f>SUM(G139:G141)</f>
        <v>2318</v>
      </c>
      <c r="H142" s="298"/>
      <c r="I142" s="298"/>
    </row>
    <row r="143" spans="2:16" hidden="1">
      <c r="B143" s="297" t="s">
        <v>19</v>
      </c>
      <c r="C143" s="298"/>
      <c r="D143" s="299"/>
      <c r="E143" s="315"/>
      <c r="F143" s="314"/>
      <c r="G143" s="300"/>
      <c r="H143" s="298"/>
      <c r="I143" s="298"/>
    </row>
    <row r="144" spans="2:16" hidden="1">
      <c r="B144" s="298" t="s">
        <v>37</v>
      </c>
      <c r="C144" s="298" t="s">
        <v>192</v>
      </c>
      <c r="D144" s="299" t="s">
        <v>473</v>
      </c>
      <c r="E144" s="319">
        <v>1</v>
      </c>
      <c r="F144" s="311">
        <f>V13</f>
        <v>23389</v>
      </c>
      <c r="G144" s="300">
        <f>INT(E144*F144)</f>
        <v>23389</v>
      </c>
      <c r="H144" s="298"/>
      <c r="I144" s="298"/>
    </row>
    <row r="145" spans="2:11" hidden="1">
      <c r="B145" s="298"/>
      <c r="C145" s="298"/>
      <c r="D145" s="299"/>
      <c r="E145" s="315"/>
      <c r="F145" s="311"/>
      <c r="G145" s="300"/>
      <c r="H145" s="298"/>
      <c r="I145" s="298"/>
    </row>
    <row r="146" spans="2:11" hidden="1">
      <c r="B146" s="298"/>
      <c r="C146" s="298"/>
      <c r="D146" s="299"/>
      <c r="E146" s="315"/>
      <c r="F146" s="311"/>
      <c r="G146" s="300"/>
      <c r="H146" s="298"/>
      <c r="I146" s="298"/>
    </row>
    <row r="147" spans="2:11" hidden="1">
      <c r="B147" s="298"/>
      <c r="C147" s="298"/>
      <c r="D147" s="299"/>
      <c r="E147" s="315"/>
      <c r="F147" s="314"/>
      <c r="G147" s="300"/>
      <c r="H147" s="298"/>
      <c r="I147" s="298"/>
    </row>
    <row r="148" spans="2:11" hidden="1">
      <c r="B148" s="298"/>
      <c r="C148" s="298" t="s">
        <v>27</v>
      </c>
      <c r="D148" s="299"/>
      <c r="E148" s="299"/>
      <c r="F148" s="300"/>
      <c r="G148" s="300">
        <f>SUM(G144:G147)</f>
        <v>23389</v>
      </c>
      <c r="H148" s="298"/>
      <c r="I148" s="298"/>
    </row>
    <row r="149" spans="2:11" hidden="1">
      <c r="B149" s="297" t="s">
        <v>19</v>
      </c>
      <c r="C149" s="298"/>
      <c r="D149" s="299"/>
      <c r="E149" s="299"/>
      <c r="F149" s="300"/>
      <c r="G149" s="300"/>
      <c r="H149" s="298"/>
      <c r="I149" s="298"/>
    </row>
    <row r="150" spans="2:11" hidden="1">
      <c r="B150" s="299" t="s">
        <v>38</v>
      </c>
      <c r="C150" s="298"/>
      <c r="D150" s="299"/>
      <c r="E150" s="299"/>
      <c r="F150" s="300"/>
      <c r="G150" s="300">
        <f>G137+G142+G148</f>
        <v>27270</v>
      </c>
      <c r="H150" s="298"/>
      <c r="I150" s="298"/>
    </row>
    <row r="151" spans="2:11" hidden="1">
      <c r="B151" s="297" t="s">
        <v>11</v>
      </c>
      <c r="C151" s="298"/>
      <c r="D151" s="299"/>
      <c r="E151" s="299"/>
      <c r="F151" s="300"/>
      <c r="G151" s="299"/>
      <c r="H151" s="298"/>
      <c r="I151" s="298"/>
    </row>
    <row r="152" spans="2:11" hidden="1">
      <c r="B152" s="297"/>
      <c r="C152" s="298"/>
      <c r="D152" s="299"/>
      <c r="E152" s="299"/>
      <c r="F152" s="300"/>
      <c r="G152" s="299"/>
      <c r="H152" s="298"/>
      <c r="I152" s="298"/>
    </row>
    <row r="153" spans="2:11" hidden="1"/>
    <row r="154" spans="2:11" hidden="1"/>
    <row r="155" spans="2:11" hidden="1"/>
    <row r="156" spans="2:11" hidden="1"/>
    <row r="157" spans="2:11" hidden="1"/>
    <row r="158" spans="2:11" hidden="1">
      <c r="B158" s="297" t="s">
        <v>11</v>
      </c>
      <c r="C158" s="298"/>
      <c r="D158" s="299"/>
      <c r="E158" s="299"/>
      <c r="F158" s="300"/>
      <c r="G158" s="299"/>
      <c r="H158" s="298"/>
      <c r="I158" s="298"/>
      <c r="J158" s="304"/>
      <c r="K158" s="305"/>
    </row>
    <row r="159" spans="2:11" hidden="1">
      <c r="B159" s="298" t="s">
        <v>186</v>
      </c>
      <c r="C159" s="298" t="s">
        <v>201</v>
      </c>
      <c r="D159" s="307" t="s">
        <v>202</v>
      </c>
      <c r="E159" s="308"/>
      <c r="F159" s="298"/>
      <c r="G159" s="299"/>
      <c r="H159" s="299"/>
      <c r="I159" s="299"/>
    </row>
    <row r="160" spans="2:11" hidden="1">
      <c r="B160" s="297" t="s">
        <v>11</v>
      </c>
      <c r="C160" s="298"/>
      <c r="D160" s="299"/>
      <c r="E160" s="299"/>
      <c r="F160" s="300"/>
      <c r="G160" s="299"/>
      <c r="H160" s="298"/>
      <c r="I160" s="298"/>
    </row>
    <row r="161" spans="2:16" hidden="1">
      <c r="B161" s="298" t="s">
        <v>15</v>
      </c>
      <c r="C161" s="298"/>
      <c r="D161" s="299" t="s">
        <v>317</v>
      </c>
      <c r="E161" s="299" t="s">
        <v>16</v>
      </c>
      <c r="F161" s="300" t="s">
        <v>17</v>
      </c>
      <c r="G161" s="299" t="s">
        <v>18</v>
      </c>
      <c r="H161" s="299" t="s">
        <v>475</v>
      </c>
      <c r="I161" s="299"/>
      <c r="J161" s="304"/>
      <c r="K161" s="305"/>
    </row>
    <row r="162" spans="2:16" hidden="1">
      <c r="B162" s="297" t="s">
        <v>19</v>
      </c>
      <c r="C162" s="298"/>
      <c r="D162" s="299"/>
      <c r="E162" s="299"/>
      <c r="F162" s="300"/>
      <c r="G162" s="299"/>
      <c r="H162" s="298"/>
      <c r="I162" s="298"/>
    </row>
    <row r="163" spans="2:16" hidden="1">
      <c r="B163" s="298" t="s">
        <v>20</v>
      </c>
      <c r="C163" s="309" t="str">
        <f>C159</f>
        <v>로우더(타이어)</v>
      </c>
      <c r="D163" s="299" t="s">
        <v>21</v>
      </c>
      <c r="E163" s="310">
        <v>0.20380000000000001</v>
      </c>
      <c r="F163" s="311">
        <v>33297</v>
      </c>
      <c r="G163" s="300">
        <f>INT(E163*F163)</f>
        <v>6785</v>
      </c>
      <c r="H163" s="298"/>
      <c r="I163" s="298"/>
      <c r="P163"/>
    </row>
    <row r="164" spans="2:16" hidden="1">
      <c r="B164" s="298"/>
      <c r="C164" s="298"/>
      <c r="D164" s="314"/>
      <c r="E164" s="315"/>
      <c r="F164" s="314"/>
      <c r="G164" s="300"/>
      <c r="H164" s="298"/>
      <c r="I164" s="298"/>
    </row>
    <row r="165" spans="2:16" hidden="1">
      <c r="B165" s="298"/>
      <c r="C165" s="298" t="s">
        <v>27</v>
      </c>
      <c r="D165" s="314"/>
      <c r="E165" s="315"/>
      <c r="F165" s="314"/>
      <c r="G165" s="300">
        <f>SUM(G163:G164)</f>
        <v>6785</v>
      </c>
      <c r="H165" s="298"/>
      <c r="I165" s="298"/>
    </row>
    <row r="166" spans="2:16" hidden="1">
      <c r="B166" s="297" t="s">
        <v>19</v>
      </c>
      <c r="C166" s="298"/>
      <c r="D166" s="299"/>
      <c r="E166" s="315"/>
      <c r="F166" s="314"/>
      <c r="G166" s="300"/>
      <c r="H166" s="298"/>
      <c r="I166" s="298"/>
    </row>
    <row r="167" spans="2:16" hidden="1">
      <c r="B167" s="298" t="s">
        <v>29</v>
      </c>
      <c r="C167" s="298" t="s">
        <v>9</v>
      </c>
      <c r="D167" s="299" t="s">
        <v>31</v>
      </c>
      <c r="E167" s="316">
        <v>3.5</v>
      </c>
      <c r="F167" s="311">
        <f>N1</f>
        <v>933</v>
      </c>
      <c r="G167" s="300">
        <f>INT(E167*F167)</f>
        <v>3265</v>
      </c>
      <c r="H167" s="298"/>
      <c r="I167" s="298"/>
    </row>
    <row r="168" spans="2:16" hidden="1">
      <c r="B168" s="298"/>
      <c r="C168" s="298" t="s">
        <v>33</v>
      </c>
      <c r="D168" s="299" t="s">
        <v>34</v>
      </c>
      <c r="E168" s="317">
        <v>0.44</v>
      </c>
      <c r="F168" s="314"/>
      <c r="G168" s="318">
        <f>INT(E168*G167)</f>
        <v>1436</v>
      </c>
      <c r="H168" s="298"/>
      <c r="I168" s="298"/>
    </row>
    <row r="169" spans="2:16" hidden="1">
      <c r="B169" s="314"/>
      <c r="C169" s="314"/>
      <c r="D169" s="314"/>
      <c r="E169" s="315"/>
      <c r="F169" s="314"/>
      <c r="G169" s="300"/>
      <c r="H169" s="298"/>
      <c r="I169" s="298"/>
    </row>
    <row r="170" spans="2:16" hidden="1">
      <c r="B170" s="314"/>
      <c r="C170" s="298" t="s">
        <v>27</v>
      </c>
      <c r="D170" s="314"/>
      <c r="E170" s="315"/>
      <c r="F170" s="314"/>
      <c r="G170" s="300">
        <f>SUM(G167:G169)</f>
        <v>4701</v>
      </c>
      <c r="H170" s="298"/>
      <c r="I170" s="298"/>
    </row>
    <row r="171" spans="2:16" hidden="1">
      <c r="B171" s="297" t="s">
        <v>19</v>
      </c>
      <c r="C171" s="298"/>
      <c r="D171" s="299"/>
      <c r="E171" s="315"/>
      <c r="F171" s="314"/>
      <c r="G171" s="300"/>
      <c r="H171" s="298"/>
      <c r="I171" s="298"/>
    </row>
    <row r="172" spans="2:16" hidden="1">
      <c r="B172" s="298" t="s">
        <v>37</v>
      </c>
      <c r="C172" s="298" t="s">
        <v>196</v>
      </c>
      <c r="D172" s="299" t="s">
        <v>473</v>
      </c>
      <c r="E172" s="319">
        <v>1</v>
      </c>
      <c r="F172" s="311">
        <f>V7</f>
        <v>23389</v>
      </c>
      <c r="G172" s="300">
        <f>INT(E172*F172)</f>
        <v>23389</v>
      </c>
      <c r="H172" s="298"/>
      <c r="I172" s="298"/>
    </row>
    <row r="173" spans="2:16" hidden="1">
      <c r="B173" s="298"/>
      <c r="C173" s="298"/>
      <c r="D173" s="299"/>
      <c r="E173" s="315"/>
      <c r="F173" s="311"/>
      <c r="G173" s="300"/>
      <c r="H173" s="298"/>
      <c r="I173" s="298"/>
    </row>
    <row r="174" spans="2:16" hidden="1">
      <c r="B174" s="298"/>
      <c r="C174" s="298"/>
      <c r="D174" s="299"/>
      <c r="E174" s="315"/>
      <c r="F174" s="311"/>
      <c r="G174" s="300"/>
      <c r="H174" s="298"/>
      <c r="I174" s="298"/>
    </row>
    <row r="175" spans="2:16" hidden="1">
      <c r="B175" s="298"/>
      <c r="C175" s="298"/>
      <c r="D175" s="299"/>
      <c r="E175" s="315"/>
      <c r="F175" s="314"/>
      <c r="G175" s="300"/>
      <c r="H175" s="298"/>
      <c r="I175" s="298"/>
    </row>
    <row r="176" spans="2:16" hidden="1">
      <c r="B176" s="298"/>
      <c r="C176" s="298" t="s">
        <v>27</v>
      </c>
      <c r="D176" s="299"/>
      <c r="E176" s="299"/>
      <c r="F176" s="300"/>
      <c r="G176" s="300">
        <f>SUM(G172:G175)</f>
        <v>23389</v>
      </c>
      <c r="H176" s="298"/>
      <c r="I176" s="298"/>
    </row>
    <row r="177" spans="2:16" hidden="1">
      <c r="B177" s="297" t="s">
        <v>19</v>
      </c>
      <c r="C177" s="298"/>
      <c r="D177" s="299"/>
      <c r="E177" s="299"/>
      <c r="F177" s="300"/>
      <c r="G177" s="300"/>
      <c r="H177" s="298"/>
      <c r="I177" s="298"/>
    </row>
    <row r="178" spans="2:16" hidden="1">
      <c r="B178" s="299" t="s">
        <v>38</v>
      </c>
      <c r="C178" s="298"/>
      <c r="D178" s="299"/>
      <c r="E178" s="299"/>
      <c r="F178" s="300"/>
      <c r="G178" s="300">
        <f>G165+G170+G176</f>
        <v>34875</v>
      </c>
      <c r="H178" s="298"/>
      <c r="I178" s="298"/>
    </row>
    <row r="179" spans="2:16" hidden="1">
      <c r="B179" s="297" t="s">
        <v>11</v>
      </c>
      <c r="C179" s="298"/>
      <c r="D179" s="299"/>
      <c r="E179" s="299"/>
      <c r="F179" s="300"/>
      <c r="G179" s="299"/>
      <c r="H179" s="298"/>
      <c r="I179" s="298"/>
    </row>
    <row r="180" spans="2:16" hidden="1">
      <c r="B180" s="297"/>
      <c r="C180" s="298"/>
      <c r="D180" s="299"/>
      <c r="E180" s="299"/>
      <c r="F180" s="300"/>
      <c r="G180" s="299"/>
      <c r="H180" s="298"/>
      <c r="I180" s="298"/>
    </row>
    <row r="181" spans="2:16" hidden="1"/>
    <row r="182" spans="2:16" hidden="1">
      <c r="B182" s="297" t="s">
        <v>11</v>
      </c>
      <c r="C182" s="298"/>
      <c r="D182" s="299"/>
      <c r="E182" s="299"/>
      <c r="F182" s="300"/>
      <c r="G182" s="299"/>
      <c r="H182" s="298"/>
      <c r="I182" s="298"/>
      <c r="J182" s="304"/>
      <c r="K182" s="305"/>
    </row>
    <row r="183" spans="2:16" hidden="1">
      <c r="B183" s="298" t="s">
        <v>186</v>
      </c>
      <c r="C183" s="298" t="s">
        <v>203</v>
      </c>
      <c r="D183" s="308" t="s">
        <v>204</v>
      </c>
      <c r="E183" s="308"/>
      <c r="F183" s="298"/>
      <c r="G183" s="299"/>
      <c r="H183" s="299"/>
      <c r="I183" s="299"/>
    </row>
    <row r="184" spans="2:16" hidden="1">
      <c r="B184" s="297" t="s">
        <v>11</v>
      </c>
      <c r="C184" s="298"/>
      <c r="D184" s="299"/>
      <c r="E184" s="299"/>
      <c r="F184" s="300"/>
      <c r="G184" s="299"/>
      <c r="H184" s="298"/>
      <c r="I184" s="298"/>
    </row>
    <row r="185" spans="2:16" hidden="1">
      <c r="B185" s="298" t="s">
        <v>15</v>
      </c>
      <c r="C185" s="298"/>
      <c r="D185" s="299" t="s">
        <v>317</v>
      </c>
      <c r="E185" s="299" t="s">
        <v>16</v>
      </c>
      <c r="F185" s="300" t="s">
        <v>17</v>
      </c>
      <c r="G185" s="299" t="s">
        <v>18</v>
      </c>
      <c r="H185" s="299" t="s">
        <v>475</v>
      </c>
      <c r="I185" s="299"/>
      <c r="J185" s="304"/>
      <c r="K185" s="305"/>
    </row>
    <row r="186" spans="2:16" hidden="1">
      <c r="B186" s="297" t="s">
        <v>19</v>
      </c>
      <c r="C186" s="298"/>
      <c r="D186" s="299"/>
      <c r="E186" s="299"/>
      <c r="F186" s="300"/>
      <c r="G186" s="299"/>
      <c r="H186" s="298"/>
      <c r="I186" s="298"/>
    </row>
    <row r="187" spans="2:16" hidden="1">
      <c r="B187" s="298" t="s">
        <v>20</v>
      </c>
      <c r="C187" s="309" t="str">
        <f>C183</f>
        <v>살수차</v>
      </c>
      <c r="D187" s="299" t="s">
        <v>21</v>
      </c>
      <c r="E187" s="310">
        <v>0.20449999999999999</v>
      </c>
      <c r="F187" s="311">
        <v>38257</v>
      </c>
      <c r="G187" s="300">
        <f>INT(E187*F187)</f>
        <v>7823</v>
      </c>
      <c r="H187" s="298"/>
      <c r="I187" s="298"/>
      <c r="P187"/>
    </row>
    <row r="188" spans="2:16" hidden="1">
      <c r="B188" s="298"/>
      <c r="C188" s="298"/>
      <c r="D188" s="314"/>
      <c r="E188" s="315"/>
      <c r="F188" s="314"/>
      <c r="G188" s="300"/>
      <c r="H188" s="298"/>
      <c r="I188" s="298"/>
    </row>
    <row r="189" spans="2:16" hidden="1">
      <c r="B189" s="298"/>
      <c r="C189" s="298" t="s">
        <v>27</v>
      </c>
      <c r="D189" s="314"/>
      <c r="E189" s="315"/>
      <c r="F189" s="314"/>
      <c r="G189" s="300">
        <f>SUM(G187:G188)</f>
        <v>7823</v>
      </c>
      <c r="H189" s="298"/>
      <c r="I189" s="298"/>
    </row>
    <row r="190" spans="2:16" hidden="1">
      <c r="B190" s="297" t="s">
        <v>19</v>
      </c>
      <c r="C190" s="298"/>
      <c r="D190" s="299"/>
      <c r="E190" s="315"/>
      <c r="F190" s="314"/>
      <c r="G190" s="300"/>
      <c r="H190" s="298"/>
      <c r="I190" s="298"/>
    </row>
    <row r="191" spans="2:16" hidden="1">
      <c r="B191" s="298" t="s">
        <v>29</v>
      </c>
      <c r="C191" s="298" t="s">
        <v>9</v>
      </c>
      <c r="D191" s="299" t="s">
        <v>31</v>
      </c>
      <c r="E191" s="316">
        <v>9.3000000000000007</v>
      </c>
      <c r="F191" s="311">
        <f>N1</f>
        <v>933</v>
      </c>
      <c r="G191" s="300">
        <f>INT(E191*F191)</f>
        <v>8676</v>
      </c>
      <c r="H191" s="298"/>
      <c r="I191" s="298"/>
    </row>
    <row r="192" spans="2:16" hidden="1">
      <c r="B192" s="298"/>
      <c r="C192" s="298" t="s">
        <v>33</v>
      </c>
      <c r="D192" s="299" t="s">
        <v>34</v>
      </c>
      <c r="E192" s="317">
        <v>0.3</v>
      </c>
      <c r="F192" s="314"/>
      <c r="G192" s="318">
        <f>INT(E192*G191)</f>
        <v>2602</v>
      </c>
      <c r="H192" s="298"/>
      <c r="I192" s="298"/>
    </row>
    <row r="193" spans="2:9" hidden="1">
      <c r="B193" s="314"/>
      <c r="C193" s="314"/>
      <c r="D193" s="314"/>
      <c r="E193" s="315"/>
      <c r="F193" s="314"/>
      <c r="G193" s="300"/>
      <c r="H193" s="298"/>
      <c r="I193" s="298"/>
    </row>
    <row r="194" spans="2:9" hidden="1">
      <c r="B194" s="314"/>
      <c r="C194" s="298" t="s">
        <v>27</v>
      </c>
      <c r="D194" s="314"/>
      <c r="E194" s="315"/>
      <c r="F194" s="314"/>
      <c r="G194" s="300">
        <f>SUM(G191:G193)</f>
        <v>11278</v>
      </c>
      <c r="H194" s="298"/>
      <c r="I194" s="298"/>
    </row>
    <row r="195" spans="2:9" hidden="1">
      <c r="B195" s="297" t="s">
        <v>19</v>
      </c>
      <c r="C195" s="298"/>
      <c r="D195" s="299"/>
      <c r="E195" s="315"/>
      <c r="F195" s="314"/>
      <c r="G195" s="300"/>
      <c r="H195" s="298"/>
      <c r="I195" s="298"/>
    </row>
    <row r="196" spans="2:9" hidden="1">
      <c r="B196" s="298" t="s">
        <v>37</v>
      </c>
      <c r="C196" s="298" t="s">
        <v>189</v>
      </c>
      <c r="D196" s="299" t="s">
        <v>473</v>
      </c>
      <c r="E196" s="319">
        <v>1</v>
      </c>
      <c r="F196" s="311">
        <f>V11</f>
        <v>21911</v>
      </c>
      <c r="G196" s="300">
        <f>INT(E196*F196)</f>
        <v>21911</v>
      </c>
      <c r="H196" s="298"/>
      <c r="I196" s="298"/>
    </row>
    <row r="197" spans="2:9" hidden="1">
      <c r="B197" s="298"/>
      <c r="C197" s="298"/>
      <c r="D197" s="299"/>
      <c r="E197" s="315"/>
      <c r="F197" s="311"/>
      <c r="G197" s="300"/>
      <c r="H197" s="298"/>
      <c r="I197" s="298"/>
    </row>
    <row r="198" spans="2:9" hidden="1">
      <c r="B198" s="298"/>
      <c r="C198" s="298"/>
      <c r="D198" s="299"/>
      <c r="E198" s="315"/>
      <c r="F198" s="311"/>
      <c r="G198" s="300"/>
      <c r="H198" s="298"/>
      <c r="I198" s="298"/>
    </row>
    <row r="199" spans="2:9" hidden="1">
      <c r="B199" s="298"/>
      <c r="C199" s="298"/>
      <c r="D199" s="299"/>
      <c r="E199" s="315"/>
      <c r="F199" s="314"/>
      <c r="G199" s="300"/>
      <c r="H199" s="298"/>
      <c r="I199" s="298"/>
    </row>
    <row r="200" spans="2:9" hidden="1">
      <c r="B200" s="298"/>
      <c r="C200" s="298" t="s">
        <v>27</v>
      </c>
      <c r="D200" s="299"/>
      <c r="E200" s="299"/>
      <c r="F200" s="300"/>
      <c r="G200" s="300">
        <f>SUM(G196:G199)</f>
        <v>21911</v>
      </c>
      <c r="H200" s="298"/>
      <c r="I200" s="298"/>
    </row>
    <row r="201" spans="2:9" hidden="1">
      <c r="B201" s="297" t="s">
        <v>19</v>
      </c>
      <c r="C201" s="298"/>
      <c r="D201" s="299"/>
      <c r="E201" s="299"/>
      <c r="F201" s="300"/>
      <c r="G201" s="300"/>
      <c r="H201" s="298"/>
      <c r="I201" s="298"/>
    </row>
    <row r="202" spans="2:9" hidden="1">
      <c r="B202" s="299" t="s">
        <v>38</v>
      </c>
      <c r="C202" s="298"/>
      <c r="D202" s="299"/>
      <c r="E202" s="299"/>
      <c r="F202" s="300"/>
      <c r="G202" s="300">
        <f>G189+G194+G200</f>
        <v>41012</v>
      </c>
      <c r="H202" s="298"/>
      <c r="I202" s="298"/>
    </row>
    <row r="203" spans="2:9" hidden="1">
      <c r="B203" s="297" t="s">
        <v>11</v>
      </c>
      <c r="C203" s="298"/>
      <c r="D203" s="299"/>
      <c r="E203" s="299"/>
      <c r="F203" s="300"/>
      <c r="G203" s="299"/>
      <c r="H203" s="298"/>
      <c r="I203" s="298"/>
    </row>
    <row r="204" spans="2:9" hidden="1">
      <c r="B204" s="297"/>
      <c r="C204" s="298"/>
      <c r="D204" s="299"/>
      <c r="E204" s="299"/>
      <c r="F204" s="300"/>
      <c r="G204" s="299"/>
      <c r="H204" s="298"/>
      <c r="I204" s="298"/>
    </row>
    <row r="205" spans="2:9" hidden="1"/>
    <row r="206" spans="2:9" hidden="1"/>
    <row r="207" spans="2:9" hidden="1"/>
    <row r="208" spans="2:9" hidden="1"/>
    <row r="209" spans="2:16" hidden="1"/>
    <row r="210" spans="2:16" hidden="1"/>
    <row r="211" spans="2:16" hidden="1">
      <c r="B211" s="297" t="s">
        <v>11</v>
      </c>
      <c r="C211" s="298"/>
      <c r="D211" s="299"/>
      <c r="E211" s="299"/>
      <c r="F211" s="300"/>
      <c r="G211" s="299"/>
      <c r="H211" s="298"/>
      <c r="I211" s="298"/>
      <c r="J211" s="304"/>
      <c r="K211" s="305"/>
    </row>
    <row r="212" spans="2:16" hidden="1">
      <c r="B212" s="298" t="s">
        <v>186</v>
      </c>
      <c r="C212" s="298" t="s">
        <v>205</v>
      </c>
      <c r="D212" s="308"/>
      <c r="E212" s="308" t="s">
        <v>206</v>
      </c>
      <c r="F212" s="298"/>
      <c r="G212" s="299"/>
      <c r="H212" s="299"/>
      <c r="I212" s="299"/>
    </row>
    <row r="213" spans="2:16" hidden="1">
      <c r="B213" s="297" t="s">
        <v>11</v>
      </c>
      <c r="C213" s="298"/>
      <c r="D213" s="299"/>
      <c r="E213" s="299"/>
      <c r="F213" s="300"/>
      <c r="G213" s="299"/>
      <c r="H213" s="298"/>
      <c r="I213" s="298"/>
    </row>
    <row r="214" spans="2:16" hidden="1">
      <c r="B214" s="298" t="s">
        <v>15</v>
      </c>
      <c r="C214" s="298"/>
      <c r="D214" s="299" t="s">
        <v>317</v>
      </c>
      <c r="E214" s="299" t="s">
        <v>16</v>
      </c>
      <c r="F214" s="300" t="s">
        <v>17</v>
      </c>
      <c r="G214" s="299" t="s">
        <v>18</v>
      </c>
      <c r="H214" s="299" t="s">
        <v>475</v>
      </c>
      <c r="I214" s="299"/>
      <c r="J214" s="304"/>
      <c r="K214" s="305"/>
    </row>
    <row r="215" spans="2:16" hidden="1">
      <c r="B215" s="297" t="s">
        <v>19</v>
      </c>
      <c r="C215" s="298"/>
      <c r="D215" s="299"/>
      <c r="E215" s="299"/>
      <c r="F215" s="300"/>
      <c r="G215" s="299"/>
      <c r="H215" s="298"/>
      <c r="I215" s="298"/>
    </row>
    <row r="216" spans="2:16" hidden="1">
      <c r="B216" s="298" t="s">
        <v>20</v>
      </c>
      <c r="C216" s="342" t="str">
        <f>C212</f>
        <v>트럭 트랙트 및 트레일러</v>
      </c>
      <c r="D216" s="299" t="s">
        <v>21</v>
      </c>
      <c r="E216" s="310">
        <v>0.25290000000000001</v>
      </c>
      <c r="F216" s="341">
        <v>57196.76</v>
      </c>
      <c r="G216" s="300">
        <f>INT(E216*F216)</f>
        <v>14465</v>
      </c>
      <c r="H216" s="298"/>
      <c r="I216" s="298"/>
      <c r="P216"/>
    </row>
    <row r="217" spans="2:16" hidden="1">
      <c r="B217" s="298"/>
      <c r="C217" s="298"/>
      <c r="D217" s="314"/>
      <c r="E217" s="315"/>
      <c r="F217" s="314"/>
      <c r="G217" s="300"/>
      <c r="H217" s="298"/>
      <c r="I217" s="298"/>
    </row>
    <row r="218" spans="2:16" hidden="1">
      <c r="B218" s="298"/>
      <c r="C218" s="298" t="s">
        <v>27</v>
      </c>
      <c r="D218" s="314"/>
      <c r="E218" s="315"/>
      <c r="F218" s="314"/>
      <c r="G218" s="300">
        <f>SUM(G216:G217)</f>
        <v>14465</v>
      </c>
      <c r="H218" s="298"/>
      <c r="I218" s="298"/>
    </row>
    <row r="219" spans="2:16" hidden="1">
      <c r="B219" s="297" t="s">
        <v>19</v>
      </c>
      <c r="C219" s="298"/>
      <c r="D219" s="299"/>
      <c r="E219" s="315"/>
      <c r="F219" s="314"/>
      <c r="G219" s="300"/>
      <c r="H219" s="298"/>
      <c r="I219" s="298"/>
    </row>
    <row r="220" spans="2:16" hidden="1">
      <c r="B220" s="298" t="s">
        <v>29</v>
      </c>
      <c r="C220" s="298" t="s">
        <v>9</v>
      </c>
      <c r="D220" s="299" t="s">
        <v>31</v>
      </c>
      <c r="E220" s="316">
        <v>16.5</v>
      </c>
      <c r="F220" s="311">
        <f>N1</f>
        <v>933</v>
      </c>
      <c r="G220" s="300">
        <f>INT(E220*F220)</f>
        <v>15394</v>
      </c>
      <c r="H220" s="298"/>
      <c r="I220" s="298"/>
    </row>
    <row r="221" spans="2:16" hidden="1">
      <c r="B221" s="298"/>
      <c r="C221" s="298" t="s">
        <v>33</v>
      </c>
      <c r="D221" s="299" t="s">
        <v>34</v>
      </c>
      <c r="E221" s="317">
        <v>0.39</v>
      </c>
      <c r="F221" s="314"/>
      <c r="G221" s="318">
        <f>INT(E221*G220)</f>
        <v>6003</v>
      </c>
      <c r="H221" s="298"/>
      <c r="I221" s="298"/>
    </row>
    <row r="222" spans="2:16" hidden="1">
      <c r="B222" s="314"/>
      <c r="C222" s="314"/>
      <c r="D222" s="314"/>
      <c r="E222" s="315"/>
      <c r="F222" s="314"/>
      <c r="G222" s="300"/>
      <c r="H222" s="298"/>
      <c r="I222" s="298"/>
    </row>
    <row r="223" spans="2:16" hidden="1">
      <c r="B223" s="314"/>
      <c r="C223" s="298" t="s">
        <v>27</v>
      </c>
      <c r="D223" s="314"/>
      <c r="E223" s="315"/>
      <c r="F223" s="314"/>
      <c r="G223" s="300">
        <f>SUM(G220:G222)</f>
        <v>21397</v>
      </c>
      <c r="H223" s="298"/>
      <c r="I223" s="298"/>
    </row>
    <row r="224" spans="2:16" hidden="1">
      <c r="B224" s="297" t="s">
        <v>19</v>
      </c>
      <c r="C224" s="298"/>
      <c r="D224" s="299"/>
      <c r="E224" s="315"/>
      <c r="F224" s="314"/>
      <c r="G224" s="300"/>
      <c r="H224" s="298"/>
      <c r="I224" s="298"/>
    </row>
    <row r="225" spans="2:11" hidden="1">
      <c r="B225" s="298" t="s">
        <v>37</v>
      </c>
      <c r="C225" s="298" t="s">
        <v>196</v>
      </c>
      <c r="D225" s="299" t="s">
        <v>473</v>
      </c>
      <c r="E225" s="319">
        <v>1</v>
      </c>
      <c r="F225" s="311">
        <f>V7</f>
        <v>23389</v>
      </c>
      <c r="G225" s="300">
        <f>INT(E225*F225)</f>
        <v>23389</v>
      </c>
      <c r="H225" s="298"/>
      <c r="I225" s="298"/>
    </row>
    <row r="226" spans="2:11" hidden="1">
      <c r="B226" s="298"/>
      <c r="C226" s="298"/>
      <c r="D226" s="299"/>
      <c r="E226" s="315"/>
      <c r="F226" s="311"/>
      <c r="G226" s="300"/>
      <c r="H226" s="298"/>
      <c r="I226" s="298"/>
    </row>
    <row r="227" spans="2:11" hidden="1">
      <c r="B227" s="298"/>
      <c r="C227" s="298"/>
      <c r="D227" s="299"/>
      <c r="E227" s="315"/>
      <c r="F227" s="311"/>
      <c r="G227" s="300"/>
      <c r="H227" s="298"/>
      <c r="I227" s="298"/>
    </row>
    <row r="228" spans="2:11" hidden="1">
      <c r="B228" s="298"/>
      <c r="C228" s="298"/>
      <c r="D228" s="299"/>
      <c r="E228" s="315"/>
      <c r="F228" s="314"/>
      <c r="G228" s="300"/>
      <c r="H228" s="298"/>
      <c r="I228" s="298"/>
    </row>
    <row r="229" spans="2:11" hidden="1">
      <c r="B229" s="298"/>
      <c r="C229" s="298" t="s">
        <v>27</v>
      </c>
      <c r="D229" s="299"/>
      <c r="E229" s="299"/>
      <c r="F229" s="300"/>
      <c r="G229" s="300">
        <f>SUM(G225:G228)</f>
        <v>23389</v>
      </c>
      <c r="H229" s="298"/>
      <c r="I229" s="298"/>
    </row>
    <row r="230" spans="2:11" hidden="1">
      <c r="B230" s="297" t="s">
        <v>19</v>
      </c>
      <c r="C230" s="298"/>
      <c r="D230" s="299"/>
      <c r="E230" s="299"/>
      <c r="F230" s="300"/>
      <c r="G230" s="300"/>
      <c r="H230" s="298"/>
      <c r="I230" s="298"/>
    </row>
    <row r="231" spans="2:11" hidden="1">
      <c r="B231" s="299" t="s">
        <v>38</v>
      </c>
      <c r="C231" s="298"/>
      <c r="D231" s="299"/>
      <c r="E231" s="299"/>
      <c r="F231" s="300"/>
      <c r="G231" s="300">
        <f>G218+G223+G229</f>
        <v>59251</v>
      </c>
      <c r="H231" s="298"/>
      <c r="I231" s="298"/>
    </row>
    <row r="232" spans="2:11" hidden="1">
      <c r="B232" s="297" t="s">
        <v>11</v>
      </c>
      <c r="C232" s="298"/>
      <c r="D232" s="299"/>
      <c r="E232" s="299"/>
      <c r="F232" s="300"/>
      <c r="G232" s="299"/>
      <c r="H232" s="298"/>
      <c r="I232" s="298"/>
    </row>
    <row r="233" spans="2:11" hidden="1">
      <c r="B233" s="297"/>
      <c r="C233" s="298"/>
      <c r="D233" s="299"/>
      <c r="E233" s="299"/>
      <c r="F233" s="300"/>
      <c r="G233" s="299"/>
      <c r="H233" s="298"/>
      <c r="I233" s="298"/>
    </row>
    <row r="234" spans="2:11" hidden="1"/>
    <row r="235" spans="2:11" hidden="1">
      <c r="B235" s="297"/>
      <c r="C235" s="298"/>
      <c r="D235" s="299"/>
      <c r="E235" s="299"/>
      <c r="F235" s="300"/>
      <c r="G235" s="299"/>
      <c r="H235" s="298"/>
      <c r="I235" s="298"/>
    </row>
    <row r="236" spans="2:11" hidden="1">
      <c r="B236" s="297" t="s">
        <v>11</v>
      </c>
      <c r="C236" s="298"/>
      <c r="D236" s="299"/>
      <c r="E236" s="299"/>
      <c r="F236" s="300"/>
      <c r="G236" s="299"/>
      <c r="H236" s="298"/>
      <c r="I236" s="298"/>
      <c r="J236" s="304"/>
      <c r="K236" s="305"/>
    </row>
    <row r="237" spans="2:11" ht="14.25" hidden="1">
      <c r="B237" s="298" t="s">
        <v>13</v>
      </c>
      <c r="C237" s="298" t="s">
        <v>14</v>
      </c>
      <c r="D237" s="307">
        <v>0.6</v>
      </c>
      <c r="E237" s="308" t="s">
        <v>183</v>
      </c>
      <c r="F237" s="298"/>
      <c r="G237" s="299"/>
      <c r="H237" s="299"/>
      <c r="I237" s="299"/>
    </row>
    <row r="238" spans="2:11" hidden="1">
      <c r="B238" s="297" t="s">
        <v>11</v>
      </c>
      <c r="C238" s="298"/>
      <c r="D238" s="299"/>
      <c r="E238" s="299"/>
      <c r="F238" s="300"/>
      <c r="G238" s="299"/>
      <c r="H238" s="298"/>
      <c r="I238" s="298"/>
    </row>
    <row r="239" spans="2:11" hidden="1">
      <c r="B239" s="298" t="s">
        <v>15</v>
      </c>
      <c r="C239" s="298"/>
      <c r="D239" s="299" t="s">
        <v>317</v>
      </c>
      <c r="E239" s="299" t="s">
        <v>16</v>
      </c>
      <c r="F239" s="300" t="s">
        <v>17</v>
      </c>
      <c r="G239" s="299" t="s">
        <v>18</v>
      </c>
      <c r="H239" s="299" t="s">
        <v>475</v>
      </c>
      <c r="I239" s="299"/>
      <c r="J239" s="304"/>
      <c r="K239" s="305"/>
    </row>
    <row r="240" spans="2:11" hidden="1">
      <c r="B240" s="297" t="s">
        <v>19</v>
      </c>
      <c r="C240" s="298"/>
      <c r="D240" s="299"/>
      <c r="E240" s="299"/>
      <c r="F240" s="300"/>
      <c r="G240" s="299"/>
      <c r="H240" s="298"/>
      <c r="I240" s="298"/>
    </row>
    <row r="241" spans="2:9" hidden="1">
      <c r="B241" s="298" t="s">
        <v>20</v>
      </c>
      <c r="C241" s="309" t="str">
        <f>C237</f>
        <v>굴삭기(유압식백호우)</v>
      </c>
      <c r="D241" s="299" t="s">
        <v>21</v>
      </c>
      <c r="E241" s="310">
        <f>(1*2038*10^-7)*1000</f>
        <v>0.20379999999999998</v>
      </c>
      <c r="F241" s="311">
        <v>89000</v>
      </c>
      <c r="G241" s="300">
        <f>INT(E241*F241)</f>
        <v>18138</v>
      </c>
      <c r="H241" s="298"/>
      <c r="I241" s="298"/>
    </row>
    <row r="242" spans="2:9" hidden="1">
      <c r="B242" s="298"/>
      <c r="C242" s="298"/>
      <c r="D242" s="314"/>
      <c r="E242" s="315"/>
      <c r="F242" s="314"/>
      <c r="G242" s="300"/>
      <c r="H242" s="298"/>
      <c r="I242" s="298"/>
    </row>
    <row r="243" spans="2:9" hidden="1">
      <c r="B243" s="298"/>
      <c r="C243" s="298" t="s">
        <v>27</v>
      </c>
      <c r="D243" s="314"/>
      <c r="E243" s="315"/>
      <c r="F243" s="314"/>
      <c r="G243" s="300">
        <f>SUM(G241:G242)</f>
        <v>18138</v>
      </c>
      <c r="H243" s="298"/>
      <c r="I243" s="298"/>
    </row>
    <row r="244" spans="2:9" hidden="1">
      <c r="B244" s="297" t="s">
        <v>19</v>
      </c>
      <c r="C244" s="298"/>
      <c r="D244" s="299"/>
      <c r="E244" s="315"/>
      <c r="F244" s="314"/>
      <c r="G244" s="300"/>
      <c r="H244" s="298"/>
      <c r="I244" s="298"/>
    </row>
    <row r="245" spans="2:9" hidden="1">
      <c r="B245" s="298" t="s">
        <v>29</v>
      </c>
      <c r="C245" s="298" t="s">
        <v>30</v>
      </c>
      <c r="D245" s="299" t="s">
        <v>31</v>
      </c>
      <c r="E245" s="316">
        <v>10.199999999999999</v>
      </c>
      <c r="F245" s="311">
        <f>$N$1</f>
        <v>933</v>
      </c>
      <c r="G245" s="300">
        <f>INT(E245*F245)</f>
        <v>9516</v>
      </c>
      <c r="H245" s="298"/>
      <c r="I245" s="298"/>
    </row>
    <row r="246" spans="2:9" hidden="1">
      <c r="B246" s="298"/>
      <c r="C246" s="298" t="s">
        <v>33</v>
      </c>
      <c r="D246" s="299" t="s">
        <v>34</v>
      </c>
      <c r="E246" s="317">
        <v>0.22</v>
      </c>
      <c r="F246" s="314"/>
      <c r="G246" s="318">
        <f>INT(E246*G245)</f>
        <v>2093</v>
      </c>
      <c r="H246" s="298"/>
      <c r="I246" s="298"/>
    </row>
    <row r="247" spans="2:9" hidden="1">
      <c r="B247" s="314"/>
      <c r="C247" s="314"/>
      <c r="D247" s="314"/>
      <c r="E247" s="315"/>
      <c r="F247" s="314"/>
      <c r="G247" s="300"/>
      <c r="H247" s="298"/>
      <c r="I247" s="298"/>
    </row>
    <row r="248" spans="2:9" hidden="1">
      <c r="B248" s="314"/>
      <c r="C248" s="298" t="s">
        <v>27</v>
      </c>
      <c r="D248" s="314"/>
      <c r="E248" s="315"/>
      <c r="F248" s="314"/>
      <c r="G248" s="300">
        <f>SUM(G245:G247)</f>
        <v>11609</v>
      </c>
      <c r="H248" s="298"/>
      <c r="I248" s="298"/>
    </row>
    <row r="249" spans="2:9" hidden="1">
      <c r="B249" s="297" t="s">
        <v>19</v>
      </c>
      <c r="C249" s="298"/>
      <c r="D249" s="299"/>
      <c r="E249" s="315"/>
      <c r="F249" s="314"/>
      <c r="G249" s="300"/>
      <c r="H249" s="298"/>
      <c r="I249" s="298"/>
    </row>
    <row r="250" spans="2:9" hidden="1">
      <c r="B250" s="298" t="s">
        <v>37</v>
      </c>
      <c r="C250" s="298" t="s">
        <v>185</v>
      </c>
      <c r="D250" s="299" t="s">
        <v>473</v>
      </c>
      <c r="E250" s="319">
        <v>1</v>
      </c>
      <c r="F250" s="311">
        <f>$V$7</f>
        <v>23389</v>
      </c>
      <c r="G250" s="300">
        <f>INT(E250*F250)</f>
        <v>23389</v>
      </c>
      <c r="H250" s="298"/>
      <c r="I250" s="298"/>
    </row>
    <row r="251" spans="2:9" hidden="1">
      <c r="B251" s="298"/>
      <c r="C251" s="298"/>
      <c r="D251" s="299"/>
      <c r="E251" s="315"/>
      <c r="F251" s="311"/>
      <c r="G251" s="300"/>
      <c r="H251" s="298"/>
      <c r="I251" s="298"/>
    </row>
    <row r="252" spans="2:9" hidden="1">
      <c r="B252" s="298"/>
      <c r="C252" s="298"/>
      <c r="D252" s="299"/>
      <c r="E252" s="315"/>
      <c r="F252" s="311"/>
      <c r="G252" s="300"/>
      <c r="H252" s="298"/>
      <c r="I252" s="298"/>
    </row>
    <row r="253" spans="2:9" hidden="1">
      <c r="B253" s="298"/>
      <c r="C253" s="298"/>
      <c r="D253" s="299"/>
      <c r="E253" s="315"/>
      <c r="F253" s="314"/>
      <c r="G253" s="300"/>
      <c r="H253" s="298"/>
      <c r="I253" s="298"/>
    </row>
    <row r="254" spans="2:9" hidden="1">
      <c r="B254" s="298"/>
      <c r="C254" s="298" t="s">
        <v>27</v>
      </c>
      <c r="D254" s="299"/>
      <c r="E254" s="299"/>
      <c r="F254" s="300"/>
      <c r="G254" s="300">
        <f>SUM(G250:G253)</f>
        <v>23389</v>
      </c>
      <c r="H254" s="298"/>
      <c r="I254" s="298"/>
    </row>
    <row r="255" spans="2:9" hidden="1">
      <c r="B255" s="297" t="s">
        <v>19</v>
      </c>
      <c r="C255" s="298"/>
      <c r="D255" s="299"/>
      <c r="E255" s="299"/>
      <c r="F255" s="300"/>
      <c r="G255" s="300"/>
      <c r="H255" s="298"/>
      <c r="I255" s="298"/>
    </row>
    <row r="256" spans="2:9" hidden="1">
      <c r="B256" s="299" t="s">
        <v>38</v>
      </c>
      <c r="C256" s="298"/>
      <c r="D256" s="299"/>
      <c r="E256" s="299"/>
      <c r="F256" s="300"/>
      <c r="G256" s="300">
        <f>G243+G248+G254</f>
        <v>53136</v>
      </c>
      <c r="H256" s="298"/>
      <c r="I256" s="298"/>
    </row>
    <row r="257" spans="2:9" hidden="1">
      <c r="B257" s="297" t="s">
        <v>11</v>
      </c>
      <c r="C257" s="298"/>
      <c r="D257" s="299"/>
      <c r="E257" s="299"/>
      <c r="F257" s="300"/>
      <c r="G257" s="299"/>
      <c r="H257" s="298"/>
      <c r="I257" s="298"/>
    </row>
    <row r="258" spans="2:9" hidden="1"/>
    <row r="259" spans="2:9" hidden="1"/>
    <row r="260" spans="2:9" hidden="1"/>
    <row r="261" spans="2:9" hidden="1"/>
  </sheetData>
  <mergeCells count="1">
    <mergeCell ref="N3:Q3"/>
  </mergeCells>
  <phoneticPr fontId="4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333"/>
  <sheetViews>
    <sheetView view="pageBreakPreview" zoomScale="112" zoomScaleSheetLayoutView="112" workbookViewId="0">
      <pane ySplit="3" topLeftCell="A301" activePane="bottomLeft" state="frozen"/>
      <selection pane="bottomLeft" activeCell="E86" sqref="E86"/>
    </sheetView>
  </sheetViews>
  <sheetFormatPr defaultColWidth="7.109375" defaultRowHeight="12.75"/>
  <cols>
    <col min="1" max="1" width="0.5546875" style="339" customWidth="1"/>
    <col min="2" max="2" width="13" style="339" customWidth="1"/>
    <col min="3" max="3" width="7.77734375" style="339" customWidth="1"/>
    <col min="4" max="4" width="5.33203125" style="339" customWidth="1"/>
    <col min="5" max="5" width="7.109375" style="339" customWidth="1"/>
    <col min="6" max="6" width="5.77734375" style="339" customWidth="1"/>
    <col min="7" max="7" width="8.109375" style="339" customWidth="1"/>
    <col min="8" max="8" width="4.33203125" style="339" customWidth="1"/>
    <col min="9" max="12" width="8.33203125" style="339" customWidth="1"/>
    <col min="13" max="16384" width="7.109375" style="339"/>
  </cols>
  <sheetData>
    <row r="1" spans="2:13" ht="24.95" customHeight="1">
      <c r="B1" s="633" t="s">
        <v>223</v>
      </c>
      <c r="C1" s="633"/>
      <c r="D1" s="633"/>
      <c r="E1" s="633"/>
      <c r="F1" s="633"/>
      <c r="G1" s="633"/>
      <c r="H1" s="633"/>
      <c r="I1" s="634"/>
      <c r="J1" s="634"/>
      <c r="K1" s="634"/>
      <c r="L1" s="634"/>
    </row>
    <row r="2" spans="2:13" ht="9.9499999999999993" customHeight="1"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</row>
    <row r="3" spans="2:13" ht="27.95" customHeight="1">
      <c r="B3" s="636" t="s">
        <v>207</v>
      </c>
      <c r="C3" s="637"/>
      <c r="D3" s="637"/>
      <c r="E3" s="637"/>
      <c r="F3" s="637"/>
      <c r="G3" s="637"/>
      <c r="H3" s="343"/>
      <c r="I3" s="343" t="s">
        <v>476</v>
      </c>
      <c r="J3" s="343" t="s">
        <v>472</v>
      </c>
      <c r="K3" s="343" t="s">
        <v>208</v>
      </c>
      <c r="L3" s="344" t="s">
        <v>209</v>
      </c>
    </row>
    <row r="4" spans="2:13" ht="11.25" customHeight="1">
      <c r="B4" s="345" t="s">
        <v>224</v>
      </c>
      <c r="C4" s="346"/>
      <c r="D4" s="347"/>
      <c r="E4" s="346"/>
      <c r="F4" s="347"/>
      <c r="G4" s="346"/>
      <c r="H4" s="348"/>
      <c r="I4" s="349">
        <f>SUM(J4:L4)</f>
        <v>34976</v>
      </c>
      <c r="J4" s="349">
        <f>J35</f>
        <v>22890</v>
      </c>
      <c r="K4" s="349">
        <f>K35</f>
        <v>4433</v>
      </c>
      <c r="L4" s="350">
        <f>L35</f>
        <v>7653</v>
      </c>
    </row>
    <row r="5" spans="2:13" ht="11.25" customHeight="1">
      <c r="B5" s="351" t="s">
        <v>210</v>
      </c>
      <c r="C5" s="352"/>
      <c r="D5" s="352"/>
      <c r="E5" s="352"/>
      <c r="F5" s="352"/>
      <c r="G5" s="352"/>
      <c r="H5" s="353"/>
      <c r="I5" s="354"/>
      <c r="J5" s="354"/>
      <c r="K5" s="354"/>
      <c r="L5" s="355"/>
    </row>
    <row r="6" spans="2:13" ht="11.25" customHeight="1">
      <c r="B6" s="351" t="s">
        <v>225</v>
      </c>
      <c r="C6" s="352"/>
      <c r="D6" s="352"/>
      <c r="E6" s="352"/>
      <c r="F6" s="352"/>
      <c r="G6" s="352"/>
      <c r="H6" s="353"/>
      <c r="I6" s="354"/>
      <c r="J6" s="354"/>
      <c r="K6" s="354"/>
      <c r="L6" s="355"/>
    </row>
    <row r="7" spans="2:13" ht="11.25" customHeight="1">
      <c r="B7" s="351" t="s">
        <v>210</v>
      </c>
      <c r="C7" s="352"/>
      <c r="D7" s="352"/>
      <c r="E7" s="352"/>
      <c r="F7" s="352"/>
      <c r="G7" s="352"/>
      <c r="H7" s="353"/>
      <c r="I7" s="354"/>
      <c r="J7" s="354"/>
      <c r="K7" s="354"/>
      <c r="L7" s="355"/>
    </row>
    <row r="8" spans="2:13" ht="11.25" customHeight="1">
      <c r="B8" s="351" t="s">
        <v>211</v>
      </c>
      <c r="C8" s="352"/>
      <c r="D8" s="352"/>
      <c r="E8" s="352"/>
      <c r="F8" s="352"/>
      <c r="G8" s="352"/>
      <c r="H8" s="353"/>
      <c r="I8" s="354"/>
      <c r="J8" s="354"/>
      <c r="K8" s="354"/>
      <c r="L8" s="355"/>
    </row>
    <row r="9" spans="2:13" ht="11.25" customHeight="1">
      <c r="B9" s="351" t="s">
        <v>210</v>
      </c>
      <c r="C9" s="352"/>
      <c r="D9" s="352"/>
      <c r="E9" s="352"/>
      <c r="F9" s="352"/>
      <c r="G9" s="352"/>
      <c r="H9" s="353"/>
      <c r="I9" s="354"/>
      <c r="J9" s="354"/>
      <c r="K9" s="354"/>
      <c r="L9" s="355"/>
    </row>
    <row r="10" spans="2:13" ht="11.25" customHeight="1">
      <c r="B10" s="356" t="s">
        <v>226</v>
      </c>
      <c r="C10" s="357">
        <f>중기사용료!G20</f>
        <v>23389</v>
      </c>
      <c r="D10" s="358" t="s">
        <v>227</v>
      </c>
      <c r="E10" s="339">
        <v>1.75</v>
      </c>
      <c r="F10" s="358" t="s">
        <v>228</v>
      </c>
      <c r="G10" s="357">
        <f>INT(C10/E10)</f>
        <v>13365</v>
      </c>
      <c r="H10" s="353"/>
      <c r="I10" s="354"/>
      <c r="J10" s="354"/>
      <c r="K10" s="354"/>
      <c r="L10" s="355"/>
      <c r="M10" s="359"/>
    </row>
    <row r="11" spans="2:13" ht="11.25" customHeight="1">
      <c r="B11" s="356" t="s">
        <v>229</v>
      </c>
      <c r="C11" s="357">
        <f>중기사용료!G14</f>
        <v>5644</v>
      </c>
      <c r="D11" s="358" t="s">
        <v>227</v>
      </c>
      <c r="E11" s="339">
        <f>E10</f>
        <v>1.75</v>
      </c>
      <c r="F11" s="358" t="s">
        <v>228</v>
      </c>
      <c r="G11" s="357">
        <f>INT(C11/E11)</f>
        <v>3225</v>
      </c>
      <c r="H11" s="353"/>
      <c r="I11" s="354"/>
      <c r="J11" s="354"/>
      <c r="K11" s="354"/>
      <c r="L11" s="355"/>
      <c r="M11" s="359"/>
    </row>
    <row r="12" spans="2:13" ht="11.25" customHeight="1">
      <c r="B12" s="356" t="s">
        <v>230</v>
      </c>
      <c r="C12" s="357">
        <f>중기사용료!G9</f>
        <v>10597</v>
      </c>
      <c r="D12" s="358" t="s">
        <v>227</v>
      </c>
      <c r="E12" s="339">
        <f>E10</f>
        <v>1.75</v>
      </c>
      <c r="F12" s="358" t="s">
        <v>228</v>
      </c>
      <c r="G12" s="357">
        <f>INT(C12/E12)</f>
        <v>6055</v>
      </c>
      <c r="H12" s="353"/>
      <c r="I12" s="354"/>
      <c r="J12" s="354"/>
      <c r="K12" s="354"/>
      <c r="L12" s="355"/>
    </row>
    <row r="13" spans="2:13" ht="11.25" customHeight="1">
      <c r="B13" s="356" t="s">
        <v>231</v>
      </c>
      <c r="D13" s="360"/>
      <c r="F13" s="360"/>
      <c r="G13" s="361">
        <f>SUM(G10:G12)</f>
        <v>22645</v>
      </c>
      <c r="H13" s="353"/>
      <c r="I13" s="354">
        <f>SUM(J13:L13)</f>
        <v>22645</v>
      </c>
      <c r="J13" s="354">
        <f>G10</f>
        <v>13365</v>
      </c>
      <c r="K13" s="354">
        <f>G11</f>
        <v>3225</v>
      </c>
      <c r="L13" s="355">
        <f>G12</f>
        <v>6055</v>
      </c>
    </row>
    <row r="14" spans="2:13" ht="11.25" customHeight="1">
      <c r="B14" s="351" t="s">
        <v>210</v>
      </c>
      <c r="C14" s="352"/>
      <c r="D14" s="352"/>
      <c r="E14" s="352"/>
      <c r="F14" s="352"/>
      <c r="G14" s="352"/>
      <c r="H14" s="353"/>
      <c r="I14" s="354"/>
      <c r="J14" s="354"/>
      <c r="K14" s="354"/>
      <c r="L14" s="355"/>
    </row>
    <row r="15" spans="2:13" ht="11.25" customHeight="1">
      <c r="B15" s="351" t="s">
        <v>212</v>
      </c>
      <c r="C15" s="352"/>
      <c r="D15" s="352"/>
      <c r="E15" s="352"/>
      <c r="F15" s="352"/>
      <c r="G15" s="352"/>
      <c r="H15" s="353"/>
      <c r="I15" s="354"/>
      <c r="J15" s="354"/>
      <c r="K15" s="354"/>
      <c r="L15" s="355"/>
    </row>
    <row r="16" spans="2:13" ht="11.25" customHeight="1">
      <c r="B16" s="351" t="s">
        <v>210</v>
      </c>
      <c r="C16" s="352"/>
      <c r="D16" s="352"/>
      <c r="E16" s="352"/>
      <c r="F16" s="352"/>
      <c r="G16" s="352"/>
      <c r="H16" s="353"/>
      <c r="I16" s="354"/>
      <c r="J16" s="354"/>
      <c r="K16" s="354"/>
      <c r="L16" s="355"/>
    </row>
    <row r="17" spans="2:12" ht="11.25" customHeight="1">
      <c r="B17" s="351" t="s">
        <v>232</v>
      </c>
      <c r="C17" s="352">
        <v>83975</v>
      </c>
      <c r="D17" s="352" t="s">
        <v>233</v>
      </c>
      <c r="E17" s="352"/>
      <c r="F17" s="352"/>
      <c r="G17" s="361">
        <f>INT(C17/(8*1.75))</f>
        <v>5998</v>
      </c>
      <c r="H17" s="353"/>
      <c r="I17" s="354">
        <f>SUM(J17:L17)</f>
        <v>5998</v>
      </c>
      <c r="J17" s="354">
        <f>G17</f>
        <v>5998</v>
      </c>
      <c r="K17" s="354"/>
      <c r="L17" s="355"/>
    </row>
    <row r="18" spans="2:12" ht="11.25" customHeight="1">
      <c r="B18" s="351" t="s">
        <v>210</v>
      </c>
      <c r="C18" s="352"/>
      <c r="D18" s="352"/>
      <c r="E18" s="352"/>
      <c r="F18" s="352"/>
      <c r="G18" s="352"/>
      <c r="H18" s="353"/>
      <c r="I18" s="354"/>
      <c r="J18" s="354"/>
      <c r="K18" s="354"/>
      <c r="L18" s="355"/>
    </row>
    <row r="19" spans="2:12" ht="11.25" customHeight="1">
      <c r="B19" s="351" t="s">
        <v>213</v>
      </c>
      <c r="C19" s="352"/>
      <c r="D19" s="352"/>
      <c r="E19" s="352"/>
      <c r="F19" s="352"/>
      <c r="G19" s="352"/>
      <c r="H19" s="353"/>
      <c r="I19" s="354"/>
      <c r="J19" s="354"/>
      <c r="K19" s="354"/>
      <c r="L19" s="355"/>
    </row>
    <row r="20" spans="2:12" ht="11.25" customHeight="1">
      <c r="B20" s="351" t="s">
        <v>210</v>
      </c>
      <c r="C20" s="352"/>
      <c r="D20" s="352"/>
      <c r="E20" s="352"/>
      <c r="F20" s="352"/>
      <c r="G20" s="352"/>
      <c r="H20" s="353"/>
      <c r="I20" s="354"/>
      <c r="J20" s="354"/>
      <c r="K20" s="354"/>
      <c r="L20" s="355"/>
    </row>
    <row r="21" spans="2:12" ht="11.25" customHeight="1">
      <c r="B21" s="351" t="s">
        <v>214</v>
      </c>
      <c r="C21" s="352"/>
      <c r="D21" s="352"/>
      <c r="E21" s="352"/>
      <c r="F21" s="352"/>
      <c r="G21" s="352"/>
      <c r="H21" s="353"/>
      <c r="I21" s="354">
        <f>SUM(J21:L21)</f>
        <v>357</v>
      </c>
      <c r="J21" s="354"/>
      <c r="K21" s="354">
        <v>357</v>
      </c>
      <c r="L21" s="355"/>
    </row>
    <row r="22" spans="2:12" ht="11.25" customHeight="1">
      <c r="B22" s="351" t="s">
        <v>210</v>
      </c>
      <c r="C22" s="352"/>
      <c r="D22" s="352"/>
      <c r="E22" s="352"/>
      <c r="F22" s="352"/>
      <c r="G22" s="352"/>
      <c r="H22" s="353"/>
      <c r="I22" s="354"/>
      <c r="J22" s="354"/>
      <c r="K22" s="354"/>
      <c r="L22" s="355"/>
    </row>
    <row r="23" spans="2:12" ht="11.25" customHeight="1">
      <c r="B23" s="351" t="s">
        <v>215</v>
      </c>
      <c r="C23" s="352"/>
      <c r="D23" s="352"/>
      <c r="E23" s="352"/>
      <c r="F23" s="352"/>
      <c r="G23" s="352"/>
      <c r="H23" s="353"/>
      <c r="I23" s="354"/>
      <c r="J23" s="354"/>
      <c r="K23" s="354"/>
      <c r="L23" s="355"/>
    </row>
    <row r="24" spans="2:12" ht="11.25" customHeight="1">
      <c r="B24" s="351" t="s">
        <v>216</v>
      </c>
      <c r="C24" s="352"/>
      <c r="D24" s="352"/>
      <c r="E24" s="352"/>
      <c r="F24" s="352"/>
      <c r="G24" s="352"/>
      <c r="H24" s="353"/>
      <c r="I24" s="354"/>
      <c r="J24" s="354"/>
      <c r="K24" s="354"/>
      <c r="L24" s="355"/>
    </row>
    <row r="25" spans="2:12" ht="11.25" customHeight="1">
      <c r="B25" s="351" t="s">
        <v>217</v>
      </c>
      <c r="C25" s="352"/>
      <c r="D25" s="352"/>
      <c r="E25" s="352"/>
      <c r="F25" s="352"/>
      <c r="G25" s="352"/>
      <c r="H25" s="353"/>
      <c r="I25" s="354"/>
      <c r="J25" s="354"/>
      <c r="K25" s="354"/>
      <c r="L25" s="355"/>
    </row>
    <row r="26" spans="2:12" ht="11.25" customHeight="1">
      <c r="B26" s="351" t="s">
        <v>218</v>
      </c>
      <c r="C26" s="352"/>
      <c r="D26" s="352"/>
      <c r="E26" s="352"/>
      <c r="F26" s="352"/>
      <c r="G26" s="352"/>
      <c r="H26" s="353"/>
      <c r="I26" s="354"/>
      <c r="J26" s="354"/>
      <c r="K26" s="354"/>
      <c r="L26" s="355"/>
    </row>
    <row r="27" spans="2:12" ht="11.25" customHeight="1">
      <c r="B27" s="351" t="s">
        <v>219</v>
      </c>
      <c r="C27" s="352"/>
      <c r="D27" s="352"/>
      <c r="E27" s="352"/>
      <c r="F27" s="352"/>
      <c r="G27" s="352"/>
      <c r="H27" s="353"/>
      <c r="I27" s="354"/>
      <c r="J27" s="354"/>
      <c r="K27" s="354"/>
      <c r="L27" s="355"/>
    </row>
    <row r="28" spans="2:12" ht="11.25" customHeight="1">
      <c r="B28" s="351" t="s">
        <v>220</v>
      </c>
      <c r="C28" s="352"/>
      <c r="D28" s="352"/>
      <c r="E28" s="352"/>
      <c r="F28" s="352"/>
      <c r="G28" s="352"/>
      <c r="H28" s="353"/>
      <c r="I28" s="354"/>
      <c r="J28" s="354"/>
      <c r="K28" s="354"/>
      <c r="L28" s="355"/>
    </row>
    <row r="29" spans="2:12" ht="11.25" customHeight="1">
      <c r="B29" s="351" t="s">
        <v>210</v>
      </c>
      <c r="C29" s="352"/>
      <c r="D29" s="352"/>
      <c r="E29" s="352"/>
      <c r="F29" s="352"/>
      <c r="G29" s="352"/>
      <c r="H29" s="353"/>
      <c r="I29" s="354"/>
      <c r="J29" s="354"/>
      <c r="K29" s="354"/>
      <c r="L29" s="355"/>
    </row>
    <row r="30" spans="2:12" ht="11.25" customHeight="1">
      <c r="B30" s="356" t="s">
        <v>226</v>
      </c>
      <c r="C30" s="357">
        <f>중기사용료!G20</f>
        <v>23389</v>
      </c>
      <c r="D30" s="358" t="s">
        <v>227</v>
      </c>
      <c r="E30" s="339">
        <v>6.63</v>
      </c>
      <c r="F30" s="358" t="s">
        <v>228</v>
      </c>
      <c r="G30" s="357">
        <f>INT(C30/E30)</f>
        <v>3527</v>
      </c>
      <c r="H30" s="353"/>
      <c r="I30" s="354"/>
      <c r="J30" s="354"/>
      <c r="K30" s="354"/>
      <c r="L30" s="355"/>
    </row>
    <row r="31" spans="2:12" ht="11.25" customHeight="1">
      <c r="B31" s="356" t="s">
        <v>229</v>
      </c>
      <c r="C31" s="357">
        <f>중기사용료!G14</f>
        <v>5644</v>
      </c>
      <c r="D31" s="358" t="s">
        <v>227</v>
      </c>
      <c r="E31" s="339">
        <v>6.63</v>
      </c>
      <c r="F31" s="358" t="s">
        <v>228</v>
      </c>
      <c r="G31" s="357">
        <f>INT(C31/E31)</f>
        <v>851</v>
      </c>
      <c r="H31" s="353"/>
      <c r="I31" s="354"/>
      <c r="J31" s="354"/>
      <c r="K31" s="354"/>
      <c r="L31" s="355"/>
    </row>
    <row r="32" spans="2:12" ht="11.25" customHeight="1">
      <c r="B32" s="356" t="s">
        <v>230</v>
      </c>
      <c r="C32" s="357">
        <f>중기사용료!G9</f>
        <v>10597</v>
      </c>
      <c r="D32" s="358" t="s">
        <v>227</v>
      </c>
      <c r="E32" s="339">
        <v>6.63</v>
      </c>
      <c r="F32" s="358" t="s">
        <v>228</v>
      </c>
      <c r="G32" s="357">
        <f>INT(C32/E32)</f>
        <v>1598</v>
      </c>
      <c r="H32" s="353"/>
      <c r="I32" s="354"/>
      <c r="J32" s="354"/>
      <c r="K32" s="354"/>
      <c r="L32" s="355"/>
    </row>
    <row r="33" spans="2:12" ht="11.25" customHeight="1">
      <c r="B33" s="356" t="s">
        <v>231</v>
      </c>
      <c r="D33" s="360"/>
      <c r="F33" s="360"/>
      <c r="G33" s="361">
        <f>SUM(G30:G32)</f>
        <v>5976</v>
      </c>
      <c r="H33" s="353"/>
      <c r="I33" s="354">
        <f>SUM(J33:L33)</f>
        <v>5976</v>
      </c>
      <c r="J33" s="354">
        <f>G30</f>
        <v>3527</v>
      </c>
      <c r="K33" s="354">
        <f>G31</f>
        <v>851</v>
      </c>
      <c r="L33" s="355">
        <f>G32</f>
        <v>1598</v>
      </c>
    </row>
    <row r="34" spans="2:12" ht="11.25" customHeight="1">
      <c r="B34" s="351" t="s">
        <v>210</v>
      </c>
      <c r="C34" s="352"/>
      <c r="D34" s="352"/>
      <c r="E34" s="352"/>
      <c r="F34" s="352"/>
      <c r="G34" s="352"/>
      <c r="H34" s="353"/>
      <c r="I34" s="354"/>
      <c r="J34" s="354"/>
      <c r="K34" s="354"/>
      <c r="L34" s="355"/>
    </row>
    <row r="35" spans="2:12" ht="11.25" customHeight="1">
      <c r="B35" s="351" t="s">
        <v>221</v>
      </c>
      <c r="C35" s="352"/>
      <c r="D35" s="352"/>
      <c r="E35" s="352"/>
      <c r="F35" s="352"/>
      <c r="G35" s="352"/>
      <c r="H35" s="353"/>
      <c r="I35" s="354">
        <f>SUM(J35:L35)</f>
        <v>34976</v>
      </c>
      <c r="J35" s="354">
        <f>SUM(J5:J34)</f>
        <v>22890</v>
      </c>
      <c r="K35" s="354">
        <f>SUM(K5:K34)</f>
        <v>4433</v>
      </c>
      <c r="L35" s="355">
        <f>SUM(L5:L34)</f>
        <v>7653</v>
      </c>
    </row>
    <row r="36" spans="2:12" ht="11.25" customHeight="1">
      <c r="B36" s="351"/>
      <c r="C36" s="352"/>
      <c r="D36" s="352"/>
      <c r="E36" s="352"/>
      <c r="F36" s="352"/>
      <c r="G36" s="352"/>
      <c r="H36" s="353"/>
      <c r="I36" s="354"/>
      <c r="J36" s="354"/>
      <c r="K36" s="354"/>
      <c r="L36" s="355"/>
    </row>
    <row r="37" spans="2:12" ht="11.25" customHeight="1">
      <c r="B37" s="351"/>
      <c r="C37" s="352"/>
      <c r="D37" s="352"/>
      <c r="E37" s="352"/>
      <c r="F37" s="352"/>
      <c r="G37" s="352"/>
      <c r="H37" s="353"/>
      <c r="I37" s="354"/>
      <c r="J37" s="354"/>
      <c r="K37" s="354"/>
      <c r="L37" s="355"/>
    </row>
    <row r="38" spans="2:12" ht="11.25" customHeight="1">
      <c r="B38" s="351"/>
      <c r="C38" s="352"/>
      <c r="D38" s="352"/>
      <c r="E38" s="352"/>
      <c r="F38" s="352"/>
      <c r="G38" s="352"/>
      <c r="H38" s="353"/>
      <c r="I38" s="354"/>
      <c r="J38" s="354"/>
      <c r="K38" s="354"/>
      <c r="L38" s="355"/>
    </row>
    <row r="39" spans="2:12" ht="11.25" customHeight="1">
      <c r="B39" s="351"/>
      <c r="C39" s="352"/>
      <c r="D39" s="352"/>
      <c r="E39" s="352"/>
      <c r="F39" s="352"/>
      <c r="G39" s="352"/>
      <c r="H39" s="353"/>
      <c r="I39" s="354"/>
      <c r="J39" s="354"/>
      <c r="K39" s="354"/>
      <c r="L39" s="355"/>
    </row>
    <row r="40" spans="2:12" ht="11.25" customHeight="1">
      <c r="B40" s="351"/>
      <c r="C40" s="352"/>
      <c r="D40" s="352"/>
      <c r="E40" s="352"/>
      <c r="F40" s="352"/>
      <c r="G40" s="352"/>
      <c r="H40" s="353"/>
      <c r="I40" s="354"/>
      <c r="J40" s="354"/>
      <c r="K40" s="354"/>
      <c r="L40" s="355"/>
    </row>
    <row r="41" spans="2:12" ht="11.25" customHeight="1">
      <c r="B41" s="351"/>
      <c r="C41" s="352"/>
      <c r="D41" s="352"/>
      <c r="E41" s="352"/>
      <c r="F41" s="352"/>
      <c r="G41" s="352"/>
      <c r="H41" s="353"/>
      <c r="I41" s="354"/>
      <c r="J41" s="354"/>
      <c r="K41" s="354"/>
      <c r="L41" s="355"/>
    </row>
    <row r="42" spans="2:12" ht="11.25" customHeight="1">
      <c r="B42" s="351"/>
      <c r="C42" s="352"/>
      <c r="D42" s="352"/>
      <c r="E42" s="352"/>
      <c r="F42" s="352"/>
      <c r="G42" s="352"/>
      <c r="H42" s="353"/>
      <c r="I42" s="354"/>
      <c r="J42" s="354"/>
      <c r="K42" s="354"/>
      <c r="L42" s="355"/>
    </row>
    <row r="43" spans="2:12" ht="11.25" customHeight="1">
      <c r="B43" s="351"/>
      <c r="C43" s="352"/>
      <c r="D43" s="352"/>
      <c r="E43" s="352"/>
      <c r="F43" s="352"/>
      <c r="G43" s="352"/>
      <c r="H43" s="353"/>
      <c r="I43" s="354"/>
      <c r="J43" s="354"/>
      <c r="K43" s="354"/>
      <c r="L43" s="355"/>
    </row>
    <row r="44" spans="2:12" ht="11.25" customHeight="1">
      <c r="B44" s="351"/>
      <c r="C44" s="352"/>
      <c r="D44" s="352"/>
      <c r="E44" s="352"/>
      <c r="F44" s="352"/>
      <c r="G44" s="352"/>
      <c r="H44" s="353"/>
      <c r="I44" s="354"/>
      <c r="J44" s="354"/>
      <c r="K44" s="354"/>
      <c r="L44" s="355"/>
    </row>
    <row r="45" spans="2:12" ht="11.25" customHeight="1">
      <c r="B45" s="351"/>
      <c r="C45" s="352"/>
      <c r="D45" s="352"/>
      <c r="E45" s="352"/>
      <c r="F45" s="352"/>
      <c r="G45" s="352"/>
      <c r="H45" s="353"/>
      <c r="I45" s="354"/>
      <c r="J45" s="354"/>
      <c r="K45" s="354"/>
      <c r="L45" s="355"/>
    </row>
    <row r="46" spans="2:12" ht="11.25" customHeight="1">
      <c r="B46" s="351"/>
      <c r="C46" s="352"/>
      <c r="D46" s="352"/>
      <c r="E46" s="352"/>
      <c r="F46" s="352"/>
      <c r="G46" s="352"/>
      <c r="H46" s="353"/>
      <c r="I46" s="354"/>
      <c r="J46" s="354"/>
      <c r="K46" s="354"/>
      <c r="L46" s="355"/>
    </row>
    <row r="47" spans="2:12" ht="11.25" customHeight="1">
      <c r="B47" s="351"/>
      <c r="C47" s="352"/>
      <c r="D47" s="352"/>
      <c r="E47" s="352"/>
      <c r="F47" s="352"/>
      <c r="G47" s="352"/>
      <c r="H47" s="353"/>
      <c r="I47" s="354"/>
      <c r="J47" s="354"/>
      <c r="K47" s="354"/>
      <c r="L47" s="355"/>
    </row>
    <row r="48" spans="2:12" ht="11.25" customHeight="1">
      <c r="B48" s="351"/>
      <c r="C48" s="352"/>
      <c r="D48" s="352"/>
      <c r="E48" s="352"/>
      <c r="F48" s="352"/>
      <c r="G48" s="352"/>
      <c r="H48" s="353"/>
      <c r="I48" s="354"/>
      <c r="J48" s="354"/>
      <c r="K48" s="354"/>
      <c r="L48" s="355"/>
    </row>
    <row r="49" spans="2:12" ht="11.25" customHeight="1">
      <c r="B49" s="351"/>
      <c r="C49" s="352"/>
      <c r="D49" s="352"/>
      <c r="E49" s="352"/>
      <c r="F49" s="352"/>
      <c r="G49" s="352"/>
      <c r="H49" s="353"/>
      <c r="I49" s="354"/>
      <c r="J49" s="354"/>
      <c r="K49" s="354"/>
      <c r="L49" s="355"/>
    </row>
    <row r="50" spans="2:12" ht="11.25" customHeight="1">
      <c r="B50" s="351"/>
      <c r="C50" s="352"/>
      <c r="D50" s="352"/>
      <c r="E50" s="352"/>
      <c r="F50" s="352"/>
      <c r="G50" s="352"/>
      <c r="H50" s="353"/>
      <c r="I50" s="354"/>
      <c r="J50" s="354"/>
      <c r="K50" s="354"/>
      <c r="L50" s="355"/>
    </row>
    <row r="51" spans="2:12" ht="11.25" customHeight="1">
      <c r="B51" s="351"/>
      <c r="C51" s="352"/>
      <c r="D51" s="352"/>
      <c r="E51" s="352"/>
      <c r="F51" s="352"/>
      <c r="G51" s="352"/>
      <c r="H51" s="353"/>
      <c r="I51" s="354"/>
      <c r="J51" s="354"/>
      <c r="K51" s="354"/>
      <c r="L51" s="355"/>
    </row>
    <row r="52" spans="2:12" ht="11.25" customHeight="1">
      <c r="B52" s="351"/>
      <c r="C52" s="352"/>
      <c r="D52" s="352"/>
      <c r="E52" s="352"/>
      <c r="F52" s="352"/>
      <c r="G52" s="352"/>
      <c r="H52" s="353"/>
      <c r="I52" s="354"/>
      <c r="J52" s="354"/>
      <c r="K52" s="354"/>
      <c r="L52" s="355"/>
    </row>
    <row r="53" spans="2:12" ht="11.25" customHeight="1">
      <c r="B53" s="351"/>
      <c r="C53" s="352"/>
      <c r="D53" s="352"/>
      <c r="E53" s="352"/>
      <c r="F53" s="352"/>
      <c r="G53" s="352"/>
      <c r="H53" s="353"/>
      <c r="I53" s="354"/>
      <c r="J53" s="354"/>
      <c r="K53" s="354"/>
      <c r="L53" s="355"/>
    </row>
    <row r="54" spans="2:12" ht="11.25" customHeight="1">
      <c r="B54" s="351"/>
      <c r="C54" s="352"/>
      <c r="D54" s="352"/>
      <c r="E54" s="352"/>
      <c r="F54" s="352"/>
      <c r="G54" s="352"/>
      <c r="H54" s="353"/>
      <c r="I54" s="354"/>
      <c r="J54" s="354"/>
      <c r="K54" s="354"/>
      <c r="L54" s="355"/>
    </row>
    <row r="55" spans="2:12" ht="11.25" customHeight="1">
      <c r="B55" s="351"/>
      <c r="C55" s="352"/>
      <c r="D55" s="352"/>
      <c r="E55" s="352"/>
      <c r="F55" s="352"/>
      <c r="G55" s="352"/>
      <c r="H55" s="353"/>
      <c r="I55" s="354"/>
      <c r="J55" s="354"/>
      <c r="K55" s="354"/>
      <c r="L55" s="355"/>
    </row>
    <row r="56" spans="2:12" ht="11.25" customHeight="1">
      <c r="B56" s="351"/>
      <c r="C56" s="352"/>
      <c r="D56" s="352"/>
      <c r="E56" s="352"/>
      <c r="F56" s="352"/>
      <c r="G56" s="352"/>
      <c r="H56" s="353"/>
      <c r="I56" s="354"/>
      <c r="J56" s="354"/>
      <c r="K56" s="354"/>
      <c r="L56" s="355"/>
    </row>
    <row r="57" spans="2:12" ht="11.25" customHeight="1">
      <c r="B57" s="351"/>
      <c r="C57" s="352"/>
      <c r="D57" s="352"/>
      <c r="E57" s="352"/>
      <c r="F57" s="352"/>
      <c r="G57" s="352"/>
      <c r="H57" s="353"/>
      <c r="I57" s="354"/>
      <c r="J57" s="354"/>
      <c r="K57" s="354"/>
      <c r="L57" s="355"/>
    </row>
    <row r="58" spans="2:12" ht="11.25" customHeight="1">
      <c r="B58" s="351"/>
      <c r="C58" s="352"/>
      <c r="D58" s="352"/>
      <c r="E58" s="352"/>
      <c r="F58" s="352"/>
      <c r="G58" s="352"/>
      <c r="H58" s="353"/>
      <c r="I58" s="354"/>
      <c r="J58" s="354"/>
      <c r="K58" s="354"/>
      <c r="L58" s="355"/>
    </row>
    <row r="59" spans="2:12" ht="11.25" customHeight="1">
      <c r="B59" s="351"/>
      <c r="C59" s="352"/>
      <c r="D59" s="352"/>
      <c r="E59" s="352"/>
      <c r="F59" s="352"/>
      <c r="G59" s="352"/>
      <c r="H59" s="353"/>
      <c r="I59" s="354"/>
      <c r="J59" s="354"/>
      <c r="K59" s="354"/>
      <c r="L59" s="355"/>
    </row>
    <row r="60" spans="2:12" ht="11.25" customHeight="1">
      <c r="B60" s="351"/>
      <c r="C60" s="352"/>
      <c r="D60" s="352"/>
      <c r="E60" s="352"/>
      <c r="F60" s="352"/>
      <c r="G60" s="352"/>
      <c r="H60" s="353"/>
      <c r="I60" s="354"/>
      <c r="J60" s="354"/>
      <c r="K60" s="354"/>
      <c r="L60" s="355"/>
    </row>
    <row r="61" spans="2:12" ht="11.25" customHeight="1">
      <c r="B61" s="351"/>
      <c r="C61" s="352"/>
      <c r="D61" s="352"/>
      <c r="E61" s="352"/>
      <c r="F61" s="352"/>
      <c r="G61" s="352"/>
      <c r="H61" s="353"/>
      <c r="I61" s="354"/>
      <c r="J61" s="354"/>
      <c r="K61" s="354"/>
      <c r="L61" s="355"/>
    </row>
    <row r="62" spans="2:12" ht="11.25" customHeight="1">
      <c r="B62" s="351"/>
      <c r="C62" s="352"/>
      <c r="D62" s="352"/>
      <c r="E62" s="352"/>
      <c r="F62" s="352"/>
      <c r="G62" s="352"/>
      <c r="H62" s="353"/>
      <c r="I62" s="354"/>
      <c r="J62" s="354"/>
      <c r="K62" s="354"/>
      <c r="L62" s="355"/>
    </row>
    <row r="63" spans="2:12" ht="11.25" customHeight="1">
      <c r="B63" s="351"/>
      <c r="C63" s="352"/>
      <c r="D63" s="352"/>
      <c r="E63" s="352"/>
      <c r="F63" s="352"/>
      <c r="G63" s="352"/>
      <c r="H63" s="353"/>
      <c r="I63" s="354"/>
      <c r="J63" s="354"/>
      <c r="K63" s="354"/>
      <c r="L63" s="355"/>
    </row>
    <row r="64" spans="2:12" ht="11.25" customHeight="1">
      <c r="B64" s="351"/>
      <c r="C64" s="352"/>
      <c r="D64" s="352"/>
      <c r="E64" s="352"/>
      <c r="F64" s="352"/>
      <c r="G64" s="352"/>
      <c r="H64" s="353"/>
      <c r="I64" s="354"/>
      <c r="J64" s="354"/>
      <c r="K64" s="354"/>
      <c r="L64" s="355"/>
    </row>
    <row r="65" spans="2:12" ht="11.25" customHeight="1">
      <c r="B65" s="351"/>
      <c r="C65" s="352"/>
      <c r="D65" s="352"/>
      <c r="E65" s="352"/>
      <c r="F65" s="352"/>
      <c r="G65" s="352"/>
      <c r="H65" s="353"/>
      <c r="I65" s="354"/>
      <c r="J65" s="354"/>
      <c r="K65" s="354"/>
      <c r="L65" s="355"/>
    </row>
    <row r="66" spans="2:12" ht="11.25" customHeight="1">
      <c r="B66" s="351"/>
      <c r="C66" s="352"/>
      <c r="D66" s="352"/>
      <c r="E66" s="352"/>
      <c r="F66" s="352"/>
      <c r="G66" s="352"/>
      <c r="H66" s="353"/>
      <c r="I66" s="354"/>
      <c r="J66" s="354"/>
      <c r="K66" s="354"/>
      <c r="L66" s="355"/>
    </row>
    <row r="67" spans="2:12" ht="11.25" customHeight="1">
      <c r="B67" s="351"/>
      <c r="C67" s="352"/>
      <c r="D67" s="352"/>
      <c r="E67" s="352"/>
      <c r="F67" s="352"/>
      <c r="G67" s="352"/>
      <c r="H67" s="353"/>
      <c r="I67" s="354"/>
      <c r="J67" s="354"/>
      <c r="K67" s="354"/>
      <c r="L67" s="355"/>
    </row>
    <row r="68" spans="2:12" ht="11.25" customHeight="1">
      <c r="B68" s="351"/>
      <c r="C68" s="352"/>
      <c r="D68" s="352"/>
      <c r="E68" s="352"/>
      <c r="F68" s="352"/>
      <c r="G68" s="352"/>
      <c r="H68" s="353"/>
      <c r="I68" s="354"/>
      <c r="J68" s="354"/>
      <c r="K68" s="354"/>
      <c r="L68" s="355"/>
    </row>
    <row r="69" spans="2:12" ht="11.25" customHeight="1">
      <c r="B69" s="351"/>
      <c r="C69" s="352"/>
      <c r="D69" s="352"/>
      <c r="E69" s="352"/>
      <c r="F69" s="352"/>
      <c r="G69" s="352"/>
      <c r="H69" s="353"/>
      <c r="I69" s="354"/>
      <c r="J69" s="354"/>
      <c r="K69" s="354"/>
      <c r="L69" s="355"/>
    </row>
    <row r="70" spans="2:12" ht="11.25" customHeight="1">
      <c r="B70" s="345" t="s">
        <v>234</v>
      </c>
      <c r="C70" s="352"/>
      <c r="D70" s="352"/>
      <c r="E70" s="352"/>
      <c r="F70" s="352"/>
      <c r="G70" s="352"/>
      <c r="H70" s="353"/>
      <c r="I70" s="354"/>
      <c r="J70" s="354"/>
      <c r="K70" s="354"/>
      <c r="L70" s="355"/>
    </row>
    <row r="71" spans="2:12" ht="11.25" customHeight="1">
      <c r="B71" s="351"/>
      <c r="C71" s="352"/>
      <c r="D71" s="352"/>
      <c r="E71" s="352"/>
      <c r="F71" s="352"/>
      <c r="G71" s="352"/>
      <c r="H71" s="353"/>
      <c r="I71" s="354"/>
      <c r="J71" s="354"/>
      <c r="K71" s="354"/>
      <c r="L71" s="355"/>
    </row>
    <row r="72" spans="2:12" ht="11.25" customHeight="1">
      <c r="B72" s="351" t="s">
        <v>235</v>
      </c>
      <c r="C72" s="352"/>
      <c r="D72" s="352"/>
      <c r="E72" s="352"/>
      <c r="F72" s="352"/>
      <c r="G72" s="352"/>
      <c r="H72" s="353"/>
      <c r="I72" s="354"/>
      <c r="J72" s="354"/>
      <c r="K72" s="354"/>
      <c r="L72" s="355"/>
    </row>
    <row r="73" spans="2:12" ht="11.25" customHeight="1">
      <c r="B73" s="351"/>
      <c r="C73" s="352"/>
      <c r="D73" s="352"/>
      <c r="E73" s="352"/>
      <c r="F73" s="352"/>
      <c r="G73" s="352"/>
      <c r="H73" s="353"/>
      <c r="I73" s="354"/>
      <c r="J73" s="354"/>
      <c r="K73" s="354"/>
      <c r="L73" s="355"/>
    </row>
    <row r="74" spans="2:12" ht="11.25" customHeight="1">
      <c r="B74" s="351" t="s">
        <v>236</v>
      </c>
      <c r="C74" s="352"/>
      <c r="D74" s="352"/>
      <c r="E74" s="352"/>
      <c r="F74" s="352"/>
      <c r="G74" s="352"/>
      <c r="H74" s="353"/>
      <c r="I74" s="354"/>
      <c r="J74" s="354"/>
      <c r="K74" s="354"/>
      <c r="L74" s="355"/>
    </row>
    <row r="75" spans="2:12" ht="11.25" customHeight="1">
      <c r="B75" s="351"/>
      <c r="C75" s="352"/>
      <c r="D75" s="352"/>
      <c r="E75" s="352"/>
      <c r="F75" s="352"/>
      <c r="G75" s="352"/>
      <c r="H75" s="353"/>
      <c r="I75" s="354"/>
      <c r="J75" s="354"/>
      <c r="K75" s="354"/>
      <c r="L75" s="355"/>
    </row>
    <row r="76" spans="2:12" ht="11.25" customHeight="1">
      <c r="B76" s="351" t="s">
        <v>237</v>
      </c>
      <c r="C76" s="352"/>
      <c r="D76" s="352"/>
      <c r="E76" s="352"/>
      <c r="F76" s="352"/>
      <c r="G76" s="352"/>
      <c r="H76" s="353"/>
      <c r="I76" s="354"/>
      <c r="J76" s="354"/>
      <c r="K76" s="354"/>
      <c r="L76" s="355"/>
    </row>
    <row r="77" spans="2:12" ht="11.25" customHeight="1">
      <c r="B77" s="362" t="s">
        <v>238</v>
      </c>
      <c r="C77" s="363">
        <v>113536</v>
      </c>
      <c r="D77" s="352" t="s">
        <v>239</v>
      </c>
      <c r="E77" s="352"/>
      <c r="F77" s="358" t="s">
        <v>228</v>
      </c>
      <c r="G77" s="364">
        <f>ROUNDDOWN(C77/300,1)</f>
        <v>378.4</v>
      </c>
      <c r="H77" s="353"/>
      <c r="I77" s="354"/>
      <c r="J77" s="354"/>
      <c r="K77" s="354"/>
      <c r="L77" s="355"/>
    </row>
    <row r="78" spans="2:12" ht="11.25" customHeight="1">
      <c r="B78" s="365" t="s">
        <v>240</v>
      </c>
      <c r="C78" s="363">
        <v>83975</v>
      </c>
      <c r="D78" s="352" t="s">
        <v>239</v>
      </c>
      <c r="E78" s="352"/>
      <c r="F78" s="358" t="s">
        <v>228</v>
      </c>
      <c r="G78" s="364">
        <f>ROUNDDOWN(C78/300,1)</f>
        <v>279.89999999999998</v>
      </c>
      <c r="H78" s="353"/>
      <c r="I78" s="354"/>
      <c r="J78" s="354"/>
      <c r="K78" s="354"/>
      <c r="L78" s="355"/>
    </row>
    <row r="79" spans="2:12" ht="11.25" customHeight="1">
      <c r="B79" s="365" t="s">
        <v>241</v>
      </c>
      <c r="C79" s="363">
        <v>83975</v>
      </c>
      <c r="D79" s="352" t="s">
        <v>239</v>
      </c>
      <c r="E79" s="352"/>
      <c r="F79" s="358" t="s">
        <v>228</v>
      </c>
      <c r="G79" s="364">
        <f>ROUNDDOWN(C79/300,1)</f>
        <v>279.89999999999998</v>
      </c>
      <c r="H79" s="353"/>
      <c r="I79" s="354"/>
      <c r="J79" s="354"/>
      <c r="K79" s="354"/>
      <c r="L79" s="355"/>
    </row>
    <row r="80" spans="2:12" ht="11.25" customHeight="1">
      <c r="B80" s="365" t="s">
        <v>242</v>
      </c>
      <c r="C80" s="366">
        <f>SUM(G77:G79)</f>
        <v>938.19999999999993</v>
      </c>
      <c r="D80" s="352"/>
      <c r="E80" s="352"/>
      <c r="F80" s="352"/>
      <c r="G80" s="352"/>
      <c r="H80" s="353"/>
      <c r="I80" s="367">
        <f>SUM(J80:L80)</f>
        <v>938.19999999999993</v>
      </c>
      <c r="J80" s="367">
        <f>C80</f>
        <v>938.19999999999993</v>
      </c>
      <c r="K80" s="354"/>
      <c r="L80" s="355"/>
    </row>
    <row r="81" spans="2:12" ht="11.25" customHeight="1">
      <c r="B81" s="351"/>
      <c r="C81" s="352"/>
      <c r="D81" s="352"/>
      <c r="E81" s="352"/>
      <c r="F81" s="352"/>
      <c r="G81" s="352"/>
      <c r="H81" s="353"/>
      <c r="I81" s="354"/>
      <c r="J81" s="354"/>
      <c r="K81" s="354"/>
      <c r="L81" s="355"/>
    </row>
    <row r="82" spans="2:12" ht="11.25" customHeight="1">
      <c r="B82" s="368" t="s">
        <v>243</v>
      </c>
      <c r="C82" s="352"/>
      <c r="D82" s="352"/>
      <c r="E82" s="352"/>
      <c r="F82" s="352"/>
      <c r="G82" s="352"/>
      <c r="H82" s="353"/>
      <c r="I82" s="354"/>
      <c r="J82" s="354"/>
      <c r="K82" s="354"/>
      <c r="L82" s="355"/>
    </row>
    <row r="83" spans="2:12" ht="11.25" customHeight="1">
      <c r="B83" s="362" t="s">
        <v>253</v>
      </c>
      <c r="C83" s="363">
        <f>중기사용료!G176</f>
        <v>23389</v>
      </c>
      <c r="D83" s="358" t="s">
        <v>227</v>
      </c>
      <c r="E83" s="364">
        <v>37.5</v>
      </c>
      <c r="F83" s="358" t="s">
        <v>228</v>
      </c>
      <c r="G83" s="364">
        <f>C83/E83</f>
        <v>623.70666666666671</v>
      </c>
      <c r="H83" s="353"/>
      <c r="I83" s="354"/>
      <c r="J83" s="367">
        <f>G83</f>
        <v>623.70666666666671</v>
      </c>
      <c r="K83" s="367"/>
      <c r="L83" s="369"/>
    </row>
    <row r="84" spans="2:12" ht="11.25" customHeight="1">
      <c r="B84" s="362" t="s">
        <v>254</v>
      </c>
      <c r="C84" s="363">
        <f>중기사용료!G170</f>
        <v>4701</v>
      </c>
      <c r="D84" s="358" t="s">
        <v>227</v>
      </c>
      <c r="E84" s="364">
        <v>37.5</v>
      </c>
      <c r="F84" s="358" t="s">
        <v>228</v>
      </c>
      <c r="G84" s="364">
        <f>C84/E84</f>
        <v>125.36</v>
      </c>
      <c r="H84" s="353"/>
      <c r="I84" s="354"/>
      <c r="J84" s="367"/>
      <c r="K84" s="367">
        <f>G84</f>
        <v>125.36</v>
      </c>
      <c r="L84" s="369"/>
    </row>
    <row r="85" spans="2:12" ht="11.25" customHeight="1">
      <c r="B85" s="362" t="s">
        <v>255</v>
      </c>
      <c r="C85" s="363">
        <f>중기사용료!G165</f>
        <v>6785</v>
      </c>
      <c r="D85" s="358" t="s">
        <v>227</v>
      </c>
      <c r="E85" s="364">
        <v>37.5</v>
      </c>
      <c r="F85" s="358" t="s">
        <v>228</v>
      </c>
      <c r="G85" s="364">
        <f>C85/E85</f>
        <v>180.93333333333334</v>
      </c>
      <c r="H85" s="353"/>
      <c r="I85" s="354"/>
      <c r="J85" s="367"/>
      <c r="K85" s="367"/>
      <c r="L85" s="369">
        <f>G85</f>
        <v>180.93333333333334</v>
      </c>
    </row>
    <row r="86" spans="2:12" ht="11.25" customHeight="1">
      <c r="B86" s="362" t="s">
        <v>256</v>
      </c>
      <c r="C86" s="352"/>
      <c r="D86" s="352"/>
      <c r="E86" s="352"/>
      <c r="F86" s="352"/>
      <c r="G86" s="364">
        <f>SUM(G83:G85)</f>
        <v>930</v>
      </c>
      <c r="H86" s="353"/>
      <c r="I86" s="367">
        <f>SUM(J86:L86)</f>
        <v>930</v>
      </c>
      <c r="J86" s="367">
        <f>SUM(J83:J85)</f>
        <v>623.70666666666671</v>
      </c>
      <c r="K86" s="367">
        <f>SUM(K83:K85)</f>
        <v>125.36</v>
      </c>
      <c r="L86" s="367">
        <f>SUM(L83:L85)</f>
        <v>180.93333333333334</v>
      </c>
    </row>
    <row r="87" spans="2:12" ht="11.25" customHeight="1">
      <c r="B87" s="362"/>
      <c r="C87" s="352"/>
      <c r="D87" s="352"/>
      <c r="E87" s="352"/>
      <c r="F87" s="352"/>
      <c r="G87" s="352"/>
      <c r="H87" s="353"/>
      <c r="I87" s="354"/>
      <c r="J87" s="354"/>
      <c r="K87" s="354"/>
      <c r="L87" s="355"/>
    </row>
    <row r="88" spans="2:12" ht="11.25" customHeight="1">
      <c r="B88" s="368" t="s">
        <v>257</v>
      </c>
      <c r="C88" s="352"/>
      <c r="D88" s="352"/>
      <c r="E88" s="352"/>
      <c r="F88" s="352"/>
      <c r="G88" s="352"/>
      <c r="H88" s="353"/>
      <c r="I88" s="354"/>
      <c r="J88" s="354"/>
      <c r="K88" s="354"/>
      <c r="L88" s="355"/>
    </row>
    <row r="89" spans="2:12" ht="11.25" customHeight="1">
      <c r="B89" s="362" t="s">
        <v>253</v>
      </c>
      <c r="C89" s="363">
        <f>중기사용료!G200</f>
        <v>21911</v>
      </c>
      <c r="D89" s="358" t="s">
        <v>227</v>
      </c>
      <c r="E89" s="364">
        <v>37.5</v>
      </c>
      <c r="F89" s="358" t="s">
        <v>228</v>
      </c>
      <c r="G89" s="364">
        <f>C89/E89</f>
        <v>584.29333333333329</v>
      </c>
      <c r="H89" s="353"/>
      <c r="I89" s="354"/>
      <c r="J89" s="367">
        <f>G89</f>
        <v>584.29333333333329</v>
      </c>
      <c r="K89" s="367"/>
      <c r="L89" s="369"/>
    </row>
    <row r="90" spans="2:12" ht="11.25" customHeight="1">
      <c r="B90" s="362" t="s">
        <v>254</v>
      </c>
      <c r="C90" s="363">
        <f>중기사용료!G194</f>
        <v>11278</v>
      </c>
      <c r="D90" s="358" t="s">
        <v>227</v>
      </c>
      <c r="E90" s="364">
        <v>37.5</v>
      </c>
      <c r="F90" s="358" t="s">
        <v>228</v>
      </c>
      <c r="G90" s="364">
        <f>C90/E90</f>
        <v>300.74666666666667</v>
      </c>
      <c r="H90" s="353"/>
      <c r="I90" s="354"/>
      <c r="J90" s="367"/>
      <c r="K90" s="367">
        <f>G90</f>
        <v>300.74666666666667</v>
      </c>
      <c r="L90" s="369"/>
    </row>
    <row r="91" spans="2:12" ht="11.25" customHeight="1">
      <c r="B91" s="362" t="s">
        <v>255</v>
      </c>
      <c r="C91" s="363">
        <f>중기사용료!G189</f>
        <v>7823</v>
      </c>
      <c r="D91" s="358" t="s">
        <v>227</v>
      </c>
      <c r="E91" s="364">
        <v>37.5</v>
      </c>
      <c r="F91" s="358" t="s">
        <v>228</v>
      </c>
      <c r="G91" s="364">
        <f>C91/E91</f>
        <v>208.61333333333334</v>
      </c>
      <c r="H91" s="353"/>
      <c r="I91" s="354"/>
      <c r="J91" s="367"/>
      <c r="K91" s="367"/>
      <c r="L91" s="369">
        <f>G91</f>
        <v>208.61333333333334</v>
      </c>
    </row>
    <row r="92" spans="2:12" ht="11.25" customHeight="1">
      <c r="B92" s="362" t="s">
        <v>256</v>
      </c>
      <c r="C92" s="352"/>
      <c r="D92" s="352"/>
      <c r="E92" s="352"/>
      <c r="F92" s="352"/>
      <c r="G92" s="364">
        <f>SUM(G89:G91)</f>
        <v>1093.6533333333332</v>
      </c>
      <c r="H92" s="353"/>
      <c r="I92" s="367">
        <f>SUM(J92:L92)</f>
        <v>1093.6533333333332</v>
      </c>
      <c r="J92" s="367">
        <f>SUM(J89:J91)</f>
        <v>584.29333333333329</v>
      </c>
      <c r="K92" s="367">
        <f>SUM(K89:K91)</f>
        <v>300.74666666666667</v>
      </c>
      <c r="L92" s="367">
        <f>SUM(L89:L91)</f>
        <v>208.61333333333334</v>
      </c>
    </row>
    <row r="93" spans="2:12" ht="11.25" customHeight="1">
      <c r="B93" s="351"/>
      <c r="C93" s="352"/>
      <c r="D93" s="352"/>
      <c r="E93" s="352"/>
      <c r="F93" s="352"/>
      <c r="G93" s="352"/>
      <c r="H93" s="353"/>
      <c r="I93" s="354"/>
      <c r="J93" s="354"/>
      <c r="K93" s="354"/>
      <c r="L93" s="355"/>
    </row>
    <row r="94" spans="2:12" ht="11.25" customHeight="1">
      <c r="B94" s="368" t="s">
        <v>258</v>
      </c>
      <c r="C94" s="352"/>
      <c r="D94" s="352"/>
      <c r="E94" s="352"/>
      <c r="F94" s="352"/>
      <c r="G94" s="352"/>
      <c r="H94" s="353"/>
      <c r="I94" s="354"/>
      <c r="J94" s="354"/>
      <c r="K94" s="354"/>
      <c r="L94" s="355"/>
    </row>
    <row r="95" spans="2:12" ht="11.25" customHeight="1">
      <c r="B95" s="368"/>
      <c r="C95" s="352"/>
      <c r="D95" s="352"/>
      <c r="E95" s="352"/>
      <c r="F95" s="352"/>
      <c r="G95" s="352"/>
      <c r="H95" s="353"/>
      <c r="I95" s="354"/>
      <c r="J95" s="354"/>
      <c r="K95" s="354"/>
      <c r="L95" s="355"/>
    </row>
    <row r="96" spans="2:12" ht="11.25" customHeight="1">
      <c r="B96" s="368" t="s">
        <v>259</v>
      </c>
      <c r="C96" s="352"/>
      <c r="D96" s="352"/>
      <c r="E96" s="352"/>
      <c r="F96" s="352"/>
      <c r="G96" s="352"/>
      <c r="H96" s="353"/>
      <c r="I96" s="354"/>
      <c r="J96" s="354"/>
      <c r="K96" s="354"/>
      <c r="L96" s="355"/>
    </row>
    <row r="97" spans="2:12" ht="11.25" customHeight="1">
      <c r="B97" s="362" t="s">
        <v>253</v>
      </c>
      <c r="C97" s="363">
        <f>중기사용료!G124</f>
        <v>23389</v>
      </c>
      <c r="D97" s="358" t="s">
        <v>227</v>
      </c>
      <c r="E97" s="364">
        <v>37.5</v>
      </c>
      <c r="F97" s="358" t="s">
        <v>228</v>
      </c>
      <c r="G97" s="364">
        <f>C97/E97</f>
        <v>623.70666666666671</v>
      </c>
      <c r="H97" s="353"/>
      <c r="I97" s="354"/>
      <c r="J97" s="367">
        <f>G97</f>
        <v>623.70666666666671</v>
      </c>
      <c r="K97" s="367"/>
      <c r="L97" s="369"/>
    </row>
    <row r="98" spans="2:12" ht="11.25" customHeight="1">
      <c r="B98" s="362" t="s">
        <v>254</v>
      </c>
      <c r="C98" s="363">
        <f>중기사용료!G118</f>
        <v>1335</v>
      </c>
      <c r="D98" s="358" t="s">
        <v>227</v>
      </c>
      <c r="E98" s="364">
        <v>37.5</v>
      </c>
      <c r="F98" s="358" t="s">
        <v>228</v>
      </c>
      <c r="G98" s="364">
        <f>C98/E98</f>
        <v>35.6</v>
      </c>
      <c r="H98" s="353"/>
      <c r="I98" s="354"/>
      <c r="J98" s="367"/>
      <c r="K98" s="367">
        <f>G98</f>
        <v>35.6</v>
      </c>
      <c r="L98" s="369"/>
    </row>
    <row r="99" spans="2:12" ht="11.25" customHeight="1">
      <c r="B99" s="362" t="s">
        <v>255</v>
      </c>
      <c r="C99" s="363">
        <f>중기사용료!G113</f>
        <v>553</v>
      </c>
      <c r="D99" s="358" t="s">
        <v>227</v>
      </c>
      <c r="E99" s="364">
        <v>37.5</v>
      </c>
      <c r="F99" s="358" t="s">
        <v>228</v>
      </c>
      <c r="G99" s="364">
        <f>C99/E99</f>
        <v>14.746666666666666</v>
      </c>
      <c r="H99" s="353"/>
      <c r="I99" s="354"/>
      <c r="J99" s="367"/>
      <c r="K99" s="367"/>
      <c r="L99" s="369">
        <f>G99</f>
        <v>14.746666666666666</v>
      </c>
    </row>
    <row r="100" spans="2:12" ht="11.25" customHeight="1">
      <c r="B100" s="362" t="s">
        <v>256</v>
      </c>
      <c r="C100" s="352"/>
      <c r="D100" s="352"/>
      <c r="E100" s="352"/>
      <c r="F100" s="352"/>
      <c r="G100" s="364">
        <f>SUM(G97:G99)</f>
        <v>674.0533333333334</v>
      </c>
      <c r="H100" s="353"/>
      <c r="I100" s="367">
        <f>SUM(J100:L100)</f>
        <v>674.0533333333334</v>
      </c>
      <c r="J100" s="367">
        <f>SUM(J97:J99)</f>
        <v>623.70666666666671</v>
      </c>
      <c r="K100" s="367">
        <f>SUM(K97:K99)</f>
        <v>35.6</v>
      </c>
      <c r="L100" s="367">
        <f>SUM(L97:L99)</f>
        <v>14.746666666666666</v>
      </c>
    </row>
    <row r="101" spans="2:12" ht="11.25" customHeight="1">
      <c r="B101" s="351"/>
      <c r="C101" s="352"/>
      <c r="D101" s="352"/>
      <c r="E101" s="352"/>
      <c r="F101" s="352"/>
      <c r="G101" s="352"/>
      <c r="H101" s="353"/>
      <c r="I101" s="354"/>
      <c r="J101" s="354"/>
      <c r="K101" s="354"/>
      <c r="L101" s="355"/>
    </row>
    <row r="102" spans="2:12" ht="11.25" customHeight="1">
      <c r="B102" s="368" t="s">
        <v>260</v>
      </c>
      <c r="C102" s="352"/>
      <c r="D102" s="352"/>
      <c r="E102" s="352"/>
      <c r="F102" s="352"/>
      <c r="G102" s="352"/>
      <c r="H102" s="353"/>
      <c r="I102" s="354"/>
      <c r="J102" s="354"/>
      <c r="K102" s="354"/>
      <c r="L102" s="355"/>
    </row>
    <row r="103" spans="2:12" ht="11.25" customHeight="1">
      <c r="B103" s="362" t="s">
        <v>253</v>
      </c>
      <c r="C103" s="363">
        <f>중기사용료!G148</f>
        <v>23389</v>
      </c>
      <c r="D103" s="358" t="s">
        <v>227</v>
      </c>
      <c r="E103" s="364">
        <v>37.5</v>
      </c>
      <c r="F103" s="358" t="s">
        <v>228</v>
      </c>
      <c r="G103" s="364">
        <f>C103/E103</f>
        <v>623.70666666666671</v>
      </c>
      <c r="H103" s="353"/>
      <c r="I103" s="354"/>
      <c r="J103" s="367">
        <f>G103</f>
        <v>623.70666666666671</v>
      </c>
      <c r="K103" s="367"/>
      <c r="L103" s="369"/>
    </row>
    <row r="104" spans="2:12" ht="11.25" customHeight="1">
      <c r="B104" s="362" t="s">
        <v>254</v>
      </c>
      <c r="C104" s="363">
        <f>중기사용료!G142</f>
        <v>2318</v>
      </c>
      <c r="D104" s="358" t="s">
        <v>227</v>
      </c>
      <c r="E104" s="364">
        <v>37.5</v>
      </c>
      <c r="F104" s="358" t="s">
        <v>228</v>
      </c>
      <c r="G104" s="364">
        <f>C104/E104</f>
        <v>61.813333333333333</v>
      </c>
      <c r="H104" s="353"/>
      <c r="I104" s="354"/>
      <c r="J104" s="367"/>
      <c r="K104" s="367">
        <f>G104</f>
        <v>61.813333333333333</v>
      </c>
      <c r="L104" s="369"/>
    </row>
    <row r="105" spans="2:12" ht="11.25" customHeight="1">
      <c r="B105" s="362" t="s">
        <v>255</v>
      </c>
      <c r="C105" s="363">
        <f>중기사용료!G137</f>
        <v>1563</v>
      </c>
      <c r="D105" s="358" t="s">
        <v>227</v>
      </c>
      <c r="E105" s="364">
        <v>37.5</v>
      </c>
      <c r="F105" s="358" t="s">
        <v>228</v>
      </c>
      <c r="G105" s="364">
        <f>C105/E105</f>
        <v>41.68</v>
      </c>
      <c r="H105" s="353"/>
      <c r="I105" s="354"/>
      <c r="J105" s="367"/>
      <c r="K105" s="367"/>
      <c r="L105" s="369">
        <f>G105</f>
        <v>41.68</v>
      </c>
    </row>
    <row r="106" spans="2:12" ht="11.25" customHeight="1">
      <c r="B106" s="362" t="s">
        <v>256</v>
      </c>
      <c r="C106" s="352"/>
      <c r="D106" s="352"/>
      <c r="E106" s="352"/>
      <c r="F106" s="352"/>
      <c r="G106" s="364">
        <f>SUM(G103:G105)</f>
        <v>727.19999999999993</v>
      </c>
      <c r="H106" s="353"/>
      <c r="I106" s="367">
        <f>SUM(J106:L106)</f>
        <v>727.19999999999993</v>
      </c>
      <c r="J106" s="367">
        <f>SUM(J103:J105)</f>
        <v>623.70666666666671</v>
      </c>
      <c r="K106" s="367">
        <f>SUM(K103:K105)</f>
        <v>61.813333333333333</v>
      </c>
      <c r="L106" s="367">
        <f>SUM(L103:L105)</f>
        <v>41.68</v>
      </c>
    </row>
    <row r="107" spans="2:12" ht="11.25" customHeight="1">
      <c r="B107" s="351"/>
      <c r="C107" s="352"/>
      <c r="D107" s="352"/>
      <c r="E107" s="352"/>
      <c r="F107" s="352"/>
      <c r="G107" s="352"/>
      <c r="H107" s="353"/>
      <c r="I107" s="354"/>
      <c r="J107" s="354"/>
      <c r="K107" s="354"/>
      <c r="L107" s="355"/>
    </row>
    <row r="108" spans="2:12" ht="11.25" customHeight="1">
      <c r="B108" s="368" t="s">
        <v>261</v>
      </c>
      <c r="C108" s="364"/>
      <c r="D108" s="364"/>
      <c r="E108" s="364"/>
      <c r="F108" s="352"/>
      <c r="G108" s="352"/>
      <c r="H108" s="353"/>
      <c r="I108" s="354"/>
      <c r="J108" s="354"/>
      <c r="K108" s="354"/>
      <c r="L108" s="355"/>
    </row>
    <row r="109" spans="2:12" ht="11.25" customHeight="1">
      <c r="B109" s="362" t="s">
        <v>253</v>
      </c>
      <c r="C109" s="366">
        <f>G97</f>
        <v>623.70666666666671</v>
      </c>
      <c r="D109" s="370" t="s">
        <v>262</v>
      </c>
      <c r="E109" s="364">
        <f>G103</f>
        <v>623.70666666666671</v>
      </c>
      <c r="F109" s="358" t="s">
        <v>228</v>
      </c>
      <c r="G109" s="364">
        <f>C109+E109</f>
        <v>1247.4133333333334</v>
      </c>
      <c r="H109" s="353"/>
      <c r="I109" s="354"/>
      <c r="J109" s="367">
        <f>G109</f>
        <v>1247.4133333333334</v>
      </c>
      <c r="K109" s="367"/>
      <c r="L109" s="369"/>
    </row>
    <row r="110" spans="2:12" ht="11.25" customHeight="1">
      <c r="B110" s="362" t="s">
        <v>254</v>
      </c>
      <c r="C110" s="366">
        <f>G98</f>
        <v>35.6</v>
      </c>
      <c r="D110" s="370" t="s">
        <v>262</v>
      </c>
      <c r="E110" s="364">
        <f>G104</f>
        <v>61.813333333333333</v>
      </c>
      <c r="F110" s="358" t="s">
        <v>228</v>
      </c>
      <c r="G110" s="364">
        <f>C110+E110</f>
        <v>97.413333333333327</v>
      </c>
      <c r="H110" s="353"/>
      <c r="I110" s="354"/>
      <c r="J110" s="367"/>
      <c r="K110" s="367">
        <f>G110</f>
        <v>97.413333333333327</v>
      </c>
      <c r="L110" s="369"/>
    </row>
    <row r="111" spans="2:12" ht="11.25" customHeight="1">
      <c r="B111" s="362" t="s">
        <v>255</v>
      </c>
      <c r="C111" s="366">
        <f>G99</f>
        <v>14.746666666666666</v>
      </c>
      <c r="D111" s="370" t="s">
        <v>262</v>
      </c>
      <c r="E111" s="364">
        <f>G105</f>
        <v>41.68</v>
      </c>
      <c r="F111" s="358" t="s">
        <v>228</v>
      </c>
      <c r="G111" s="364">
        <f>C111+E111</f>
        <v>56.426666666666662</v>
      </c>
      <c r="H111" s="353"/>
      <c r="I111" s="354"/>
      <c r="J111" s="367"/>
      <c r="K111" s="367"/>
      <c r="L111" s="369">
        <f>G111</f>
        <v>56.426666666666662</v>
      </c>
    </row>
    <row r="112" spans="2:12" ht="11.25" customHeight="1">
      <c r="B112" s="362" t="s">
        <v>256</v>
      </c>
      <c r="C112" s="364"/>
      <c r="D112" s="370"/>
      <c r="E112" s="364"/>
      <c r="F112" s="352"/>
      <c r="G112" s="364">
        <f>SUM(G109:G111)</f>
        <v>1401.2533333333336</v>
      </c>
      <c r="H112" s="353"/>
      <c r="I112" s="367">
        <f>SUM(J112:L112)</f>
        <v>1401.2533333333336</v>
      </c>
      <c r="J112" s="367">
        <f>SUM(J109:J111)</f>
        <v>1247.4133333333334</v>
      </c>
      <c r="K112" s="367">
        <f>SUM(K109:K111)</f>
        <v>97.413333333333327</v>
      </c>
      <c r="L112" s="367">
        <f>SUM(L109:L111)</f>
        <v>56.426666666666662</v>
      </c>
    </row>
    <row r="113" spans="2:12" ht="11.25" customHeight="1">
      <c r="B113" s="351"/>
      <c r="C113" s="352"/>
      <c r="D113" s="352"/>
      <c r="E113" s="352"/>
      <c r="F113" s="352"/>
      <c r="G113" s="352"/>
      <c r="H113" s="353"/>
      <c r="I113" s="354"/>
      <c r="J113" s="354"/>
      <c r="K113" s="354"/>
      <c r="L113" s="355"/>
    </row>
    <row r="114" spans="2:12" s="372" customFormat="1" ht="11.25" customHeight="1">
      <c r="B114" s="371" t="s">
        <v>263</v>
      </c>
      <c r="C114" s="347"/>
      <c r="D114" s="347"/>
      <c r="E114" s="347"/>
      <c r="F114" s="347"/>
      <c r="G114" s="347"/>
      <c r="H114" s="348"/>
      <c r="I114" s="349">
        <f>(SUM(J114:L114))</f>
        <v>4361</v>
      </c>
      <c r="J114" s="349">
        <f>INT(J80+J86+J92+J112)</f>
        <v>3393</v>
      </c>
      <c r="K114" s="349">
        <f>INT(K80+K86+K92+K112)</f>
        <v>523</v>
      </c>
      <c r="L114" s="349">
        <f>INT(L80+L86+L92+L112)</f>
        <v>445</v>
      </c>
    </row>
    <row r="115" spans="2:12" ht="11.25" customHeight="1">
      <c r="B115" s="362"/>
      <c r="C115" s="366"/>
      <c r="D115" s="370"/>
      <c r="E115" s="364"/>
      <c r="F115" s="358"/>
      <c r="G115" s="364"/>
      <c r="H115" s="353"/>
      <c r="I115" s="354"/>
      <c r="J115" s="367"/>
      <c r="K115" s="367"/>
      <c r="L115" s="369"/>
    </row>
    <row r="116" spans="2:12" ht="11.25" customHeight="1">
      <c r="B116" s="362"/>
      <c r="C116" s="366"/>
      <c r="D116" s="370"/>
      <c r="E116" s="364"/>
      <c r="F116" s="358"/>
      <c r="G116" s="364"/>
      <c r="H116" s="353"/>
      <c r="I116" s="354"/>
      <c r="J116" s="367"/>
      <c r="K116" s="367"/>
      <c r="L116" s="369"/>
    </row>
    <row r="117" spans="2:12" ht="11.25" customHeight="1">
      <c r="B117" s="362"/>
      <c r="C117" s="366"/>
      <c r="D117" s="370"/>
      <c r="E117" s="364"/>
      <c r="F117" s="358"/>
      <c r="G117" s="364"/>
      <c r="H117" s="353"/>
      <c r="I117" s="354"/>
      <c r="J117" s="367"/>
      <c r="K117" s="367"/>
      <c r="L117" s="369"/>
    </row>
    <row r="118" spans="2:12" ht="11.25" customHeight="1">
      <c r="B118" s="362"/>
      <c r="C118" s="364"/>
      <c r="D118" s="370"/>
      <c r="E118" s="364"/>
      <c r="F118" s="352"/>
      <c r="G118" s="364"/>
      <c r="H118" s="353"/>
      <c r="I118" s="367"/>
      <c r="J118" s="367"/>
      <c r="K118" s="367"/>
      <c r="L118" s="367"/>
    </row>
    <row r="119" spans="2:12" ht="11.25" customHeight="1">
      <c r="B119" s="351"/>
      <c r="C119" s="352"/>
      <c r="D119" s="352"/>
      <c r="E119" s="352"/>
      <c r="F119" s="352"/>
      <c r="G119" s="352"/>
      <c r="H119" s="353"/>
      <c r="I119" s="354"/>
      <c r="J119" s="354"/>
      <c r="K119" s="354"/>
      <c r="L119" s="355"/>
    </row>
    <row r="120" spans="2:12" ht="11.25" customHeight="1">
      <c r="B120" s="351"/>
      <c r="C120" s="352"/>
      <c r="D120" s="352"/>
      <c r="E120" s="352"/>
      <c r="F120" s="352"/>
      <c r="G120" s="352"/>
      <c r="H120" s="353"/>
      <c r="I120" s="354"/>
      <c r="J120" s="354"/>
      <c r="K120" s="354"/>
      <c r="L120" s="355"/>
    </row>
    <row r="121" spans="2:12" ht="11.25" customHeight="1">
      <c r="B121" s="351"/>
      <c r="C121" s="352"/>
      <c r="D121" s="352"/>
      <c r="E121" s="352"/>
      <c r="F121" s="352"/>
      <c r="G121" s="352"/>
      <c r="H121" s="353"/>
      <c r="I121" s="354"/>
      <c r="J121" s="354"/>
      <c r="K121" s="354"/>
      <c r="L121" s="355"/>
    </row>
    <row r="122" spans="2:12" ht="11.25" customHeight="1">
      <c r="B122" s="351"/>
      <c r="C122" s="352"/>
      <c r="D122" s="352"/>
      <c r="E122" s="352"/>
      <c r="F122" s="352"/>
      <c r="G122" s="352"/>
      <c r="H122" s="353"/>
      <c r="I122" s="354"/>
      <c r="J122" s="354"/>
      <c r="K122" s="354"/>
      <c r="L122" s="355"/>
    </row>
    <row r="123" spans="2:12" ht="11.25" customHeight="1">
      <c r="B123" s="351"/>
      <c r="C123" s="352"/>
      <c r="D123" s="352"/>
      <c r="E123" s="352"/>
      <c r="F123" s="352"/>
      <c r="G123" s="352"/>
      <c r="H123" s="353"/>
      <c r="I123" s="354"/>
      <c r="J123" s="354"/>
      <c r="K123" s="354"/>
      <c r="L123" s="355"/>
    </row>
    <row r="124" spans="2:12" ht="11.25" customHeight="1">
      <c r="B124" s="351"/>
      <c r="C124" s="352"/>
      <c r="D124" s="352"/>
      <c r="E124" s="352"/>
      <c r="F124" s="352"/>
      <c r="G124" s="352"/>
      <c r="H124" s="353"/>
      <c r="I124" s="354"/>
      <c r="J124" s="354"/>
      <c r="K124" s="354"/>
      <c r="L124" s="355"/>
    </row>
    <row r="125" spans="2:12" ht="11.25" customHeight="1">
      <c r="B125" s="351"/>
      <c r="C125" s="352"/>
      <c r="D125" s="352"/>
      <c r="E125" s="352"/>
      <c r="F125" s="352"/>
      <c r="G125" s="352"/>
      <c r="H125" s="353"/>
      <c r="I125" s="354"/>
      <c r="J125" s="354"/>
      <c r="K125" s="354"/>
      <c r="L125" s="355"/>
    </row>
    <row r="126" spans="2:12" ht="11.25" customHeight="1">
      <c r="B126" s="351"/>
      <c r="C126" s="352"/>
      <c r="D126" s="352"/>
      <c r="E126" s="352"/>
      <c r="F126" s="352"/>
      <c r="G126" s="352"/>
      <c r="H126" s="353"/>
      <c r="I126" s="354"/>
      <c r="J126" s="354"/>
      <c r="K126" s="354"/>
      <c r="L126" s="355"/>
    </row>
    <row r="127" spans="2:12" ht="11.25" customHeight="1">
      <c r="B127" s="351"/>
      <c r="C127" s="352"/>
      <c r="D127" s="352"/>
      <c r="E127" s="352"/>
      <c r="F127" s="352"/>
      <c r="G127" s="352"/>
      <c r="H127" s="353"/>
      <c r="I127" s="354"/>
      <c r="J127" s="354"/>
      <c r="K127" s="354"/>
      <c r="L127" s="355"/>
    </row>
    <row r="128" spans="2:12" ht="11.25" customHeight="1">
      <c r="B128" s="351"/>
      <c r="C128" s="352"/>
      <c r="D128" s="352"/>
      <c r="E128" s="352"/>
      <c r="F128" s="352"/>
      <c r="G128" s="352"/>
      <c r="H128" s="353"/>
      <c r="I128" s="354"/>
      <c r="J128" s="354"/>
      <c r="K128" s="354"/>
      <c r="L128" s="355"/>
    </row>
    <row r="129" spans="2:12" ht="11.25" customHeight="1">
      <c r="B129" s="351"/>
      <c r="C129" s="352"/>
      <c r="D129" s="352"/>
      <c r="E129" s="352"/>
      <c r="F129" s="352"/>
      <c r="G129" s="352"/>
      <c r="H129" s="353"/>
      <c r="I129" s="354"/>
      <c r="J129" s="354"/>
      <c r="K129" s="354"/>
      <c r="L129" s="355"/>
    </row>
    <row r="130" spans="2:12" ht="11.25" customHeight="1">
      <c r="B130" s="351"/>
      <c r="C130" s="352"/>
      <c r="D130" s="352"/>
      <c r="E130" s="352"/>
      <c r="F130" s="352"/>
      <c r="G130" s="352"/>
      <c r="H130" s="353"/>
      <c r="I130" s="354"/>
      <c r="J130" s="354"/>
      <c r="K130" s="354"/>
      <c r="L130" s="355"/>
    </row>
    <row r="131" spans="2:12" ht="11.25" customHeight="1">
      <c r="B131" s="351"/>
      <c r="C131" s="352"/>
      <c r="D131" s="352"/>
      <c r="E131" s="352"/>
      <c r="F131" s="352"/>
      <c r="G131" s="352"/>
      <c r="H131" s="353"/>
      <c r="I131" s="354"/>
      <c r="J131" s="354"/>
      <c r="K131" s="354"/>
      <c r="L131" s="355"/>
    </row>
    <row r="132" spans="2:12" ht="11.25" customHeight="1">
      <c r="B132" s="351"/>
      <c r="C132" s="352"/>
      <c r="D132" s="352"/>
      <c r="E132" s="352"/>
      <c r="F132" s="352"/>
      <c r="G132" s="352"/>
      <c r="H132" s="353"/>
      <c r="I132" s="354"/>
      <c r="J132" s="354"/>
      <c r="K132" s="354"/>
      <c r="L132" s="355"/>
    </row>
    <row r="133" spans="2:12" ht="11.25" customHeight="1">
      <c r="B133" s="351"/>
      <c r="C133" s="352"/>
      <c r="D133" s="352"/>
      <c r="E133" s="352"/>
      <c r="F133" s="352"/>
      <c r="G133" s="352"/>
      <c r="H133" s="353"/>
      <c r="I133" s="354"/>
      <c r="J133" s="354"/>
      <c r="K133" s="354"/>
      <c r="L133" s="355"/>
    </row>
    <row r="134" spans="2:12" ht="11.25" customHeight="1">
      <c r="B134" s="351"/>
      <c r="C134" s="352"/>
      <c r="D134" s="352"/>
      <c r="E134" s="352"/>
      <c r="F134" s="352"/>
      <c r="G134" s="352"/>
      <c r="H134" s="353"/>
      <c r="I134" s="354"/>
      <c r="J134" s="354"/>
      <c r="K134" s="354"/>
      <c r="L134" s="355"/>
    </row>
    <row r="135" spans="2:12" ht="11.25" customHeight="1">
      <c r="B135" s="351"/>
      <c r="C135" s="352"/>
      <c r="D135" s="352"/>
      <c r="E135" s="352"/>
      <c r="F135" s="352"/>
      <c r="G135" s="352"/>
      <c r="H135" s="353"/>
      <c r="I135" s="354"/>
      <c r="J135" s="354"/>
      <c r="K135" s="354"/>
      <c r="L135" s="355"/>
    </row>
    <row r="136" spans="2:12" ht="11.25" customHeight="1">
      <c r="B136" s="371" t="s">
        <v>264</v>
      </c>
      <c r="C136" s="352"/>
      <c r="D136" s="352"/>
      <c r="E136" s="352"/>
      <c r="F136" s="352"/>
      <c r="G136" s="352"/>
      <c r="H136" s="353"/>
      <c r="I136" s="354"/>
      <c r="J136" s="354"/>
      <c r="K136" s="354"/>
      <c r="L136" s="355"/>
    </row>
    <row r="137" spans="2:12" ht="11.25" customHeight="1">
      <c r="B137" s="351"/>
      <c r="C137" s="352"/>
      <c r="D137" s="352"/>
      <c r="E137" s="352"/>
      <c r="F137" s="352"/>
      <c r="G137" s="352"/>
      <c r="H137" s="353"/>
      <c r="I137" s="354"/>
      <c r="J137" s="354"/>
      <c r="K137" s="354"/>
      <c r="L137" s="355"/>
    </row>
    <row r="138" spans="2:12" ht="11.25" customHeight="1">
      <c r="B138" s="351" t="s">
        <v>265</v>
      </c>
      <c r="C138" s="352"/>
      <c r="D138" s="352"/>
      <c r="E138" s="352"/>
      <c r="F138" s="352"/>
      <c r="G138" s="352"/>
      <c r="H138" s="353"/>
      <c r="I138" s="354"/>
      <c r="J138" s="354"/>
      <c r="K138" s="354"/>
      <c r="L138" s="355"/>
    </row>
    <row r="139" spans="2:12" ht="11.25" customHeight="1">
      <c r="B139" s="351"/>
      <c r="C139" s="352"/>
      <c r="D139" s="352"/>
      <c r="E139" s="352"/>
      <c r="F139" s="352"/>
      <c r="G139" s="352"/>
      <c r="H139" s="353"/>
      <c r="I139" s="354"/>
      <c r="J139" s="354"/>
      <c r="K139" s="354"/>
      <c r="L139" s="355"/>
    </row>
    <row r="140" spans="2:12" ht="11.25" customHeight="1">
      <c r="B140" s="351" t="s">
        <v>266</v>
      </c>
      <c r="C140" s="352"/>
      <c r="D140" s="352"/>
      <c r="E140" s="352"/>
      <c r="F140" s="352"/>
      <c r="G140" s="352"/>
      <c r="H140" s="353"/>
      <c r="I140" s="354"/>
      <c r="J140" s="354"/>
      <c r="K140" s="354"/>
      <c r="L140" s="355"/>
    </row>
    <row r="141" spans="2:12" ht="11.25" customHeight="1">
      <c r="B141" s="351"/>
      <c r="C141" s="352"/>
      <c r="D141" s="352"/>
      <c r="E141" s="352"/>
      <c r="F141" s="352"/>
      <c r="G141" s="352"/>
      <c r="H141" s="353"/>
      <c r="I141" s="354"/>
      <c r="J141" s="354"/>
      <c r="K141" s="354"/>
      <c r="L141" s="355"/>
    </row>
    <row r="142" spans="2:12" ht="11.25" customHeight="1">
      <c r="B142" s="351" t="s">
        <v>237</v>
      </c>
      <c r="C142" s="352"/>
      <c r="D142" s="352"/>
      <c r="E142" s="352"/>
      <c r="F142" s="352"/>
      <c r="G142" s="352"/>
      <c r="H142" s="353"/>
      <c r="I142" s="354"/>
      <c r="J142" s="354"/>
      <c r="K142" s="354"/>
      <c r="L142" s="355"/>
    </row>
    <row r="143" spans="2:12" ht="11.25" customHeight="1">
      <c r="B143" s="365" t="s">
        <v>267</v>
      </c>
      <c r="C143" s="363">
        <v>83975</v>
      </c>
      <c r="D143" s="352" t="s">
        <v>268</v>
      </c>
      <c r="E143" s="352"/>
      <c r="F143" s="358" t="s">
        <v>228</v>
      </c>
      <c r="G143" s="364">
        <f>ROUNDDOWN(C143/150,1)</f>
        <v>559.79999999999995</v>
      </c>
      <c r="H143" s="353"/>
      <c r="I143" s="354"/>
      <c r="J143" s="354"/>
      <c r="K143" s="354"/>
      <c r="L143" s="355"/>
    </row>
    <row r="144" spans="2:12" ht="11.25" customHeight="1">
      <c r="B144" s="365" t="s">
        <v>242</v>
      </c>
      <c r="C144" s="366">
        <f>SUM(G143:G143)</f>
        <v>559.79999999999995</v>
      </c>
      <c r="D144" s="352"/>
      <c r="E144" s="352"/>
      <c r="F144" s="352"/>
      <c r="G144" s="352"/>
      <c r="H144" s="353"/>
      <c r="I144" s="367">
        <f>SUM(J144:L144)</f>
        <v>559.79999999999995</v>
      </c>
      <c r="J144" s="367">
        <f>C144</f>
        <v>559.79999999999995</v>
      </c>
      <c r="K144" s="354"/>
      <c r="L144" s="355"/>
    </row>
    <row r="145" spans="2:12" ht="11.25" customHeight="1">
      <c r="B145" s="351"/>
      <c r="C145" s="352"/>
      <c r="D145" s="352"/>
      <c r="E145" s="352"/>
      <c r="F145" s="352"/>
      <c r="G145" s="352"/>
      <c r="H145" s="353"/>
      <c r="I145" s="354"/>
      <c r="J145" s="354"/>
      <c r="K145" s="354"/>
      <c r="L145" s="355"/>
    </row>
    <row r="146" spans="2:12" ht="11.25" customHeight="1">
      <c r="B146" s="368" t="s">
        <v>269</v>
      </c>
      <c r="C146" s="352"/>
      <c r="D146" s="352"/>
      <c r="E146" s="352"/>
      <c r="F146" s="352"/>
      <c r="G146" s="352"/>
      <c r="H146" s="353"/>
      <c r="I146" s="354"/>
      <c r="J146" s="354"/>
      <c r="K146" s="354"/>
      <c r="L146" s="355"/>
    </row>
    <row r="147" spans="2:12" ht="11.25" customHeight="1">
      <c r="B147" s="362" t="s">
        <v>253</v>
      </c>
      <c r="C147" s="363">
        <f>중기사용료!G254</f>
        <v>23389</v>
      </c>
      <c r="D147" s="358" t="s">
        <v>227</v>
      </c>
      <c r="E147" s="373">
        <v>18.75</v>
      </c>
      <c r="F147" s="358" t="s">
        <v>228</v>
      </c>
      <c r="G147" s="364">
        <f>C147/E147</f>
        <v>1247.4133333333334</v>
      </c>
      <c r="H147" s="353"/>
      <c r="I147" s="354"/>
      <c r="J147" s="367">
        <f>G147</f>
        <v>1247.4133333333334</v>
      </c>
      <c r="K147" s="367"/>
      <c r="L147" s="369"/>
    </row>
    <row r="148" spans="2:12" ht="11.25" customHeight="1">
      <c r="B148" s="362" t="s">
        <v>254</v>
      </c>
      <c r="C148" s="363">
        <f>중기사용료!G248</f>
        <v>11609</v>
      </c>
      <c r="D148" s="358" t="s">
        <v>227</v>
      </c>
      <c r="E148" s="373">
        <v>18.75</v>
      </c>
      <c r="F148" s="358" t="s">
        <v>228</v>
      </c>
      <c r="G148" s="364">
        <f>C148/E148</f>
        <v>619.14666666666665</v>
      </c>
      <c r="H148" s="353"/>
      <c r="I148" s="354"/>
      <c r="J148" s="367"/>
      <c r="K148" s="367">
        <f>G148</f>
        <v>619.14666666666665</v>
      </c>
      <c r="L148" s="369"/>
    </row>
    <row r="149" spans="2:12" ht="11.25" customHeight="1">
      <c r="B149" s="362" t="s">
        <v>255</v>
      </c>
      <c r="C149" s="363">
        <f>중기사용료!G243</f>
        <v>18138</v>
      </c>
      <c r="D149" s="358" t="s">
        <v>227</v>
      </c>
      <c r="E149" s="373">
        <v>18.75</v>
      </c>
      <c r="F149" s="358" t="s">
        <v>228</v>
      </c>
      <c r="G149" s="364">
        <f>C149/E149</f>
        <v>967.36</v>
      </c>
      <c r="H149" s="353"/>
      <c r="I149" s="354"/>
      <c r="J149" s="367"/>
      <c r="K149" s="367"/>
      <c r="L149" s="369">
        <f>G149</f>
        <v>967.36</v>
      </c>
    </row>
    <row r="150" spans="2:12" ht="11.25" customHeight="1">
      <c r="B150" s="362" t="s">
        <v>256</v>
      </c>
      <c r="C150" s="352"/>
      <c r="D150" s="352"/>
      <c r="E150" s="352"/>
      <c r="F150" s="352"/>
      <c r="G150" s="364">
        <f>SUM(G147:G149)</f>
        <v>2833.92</v>
      </c>
      <c r="H150" s="353"/>
      <c r="I150" s="367">
        <f>SUM(J150:L150)</f>
        <v>2833.92</v>
      </c>
      <c r="J150" s="367">
        <f>SUM(J147:J149)</f>
        <v>1247.4133333333334</v>
      </c>
      <c r="K150" s="367">
        <f>SUM(K147:K149)</f>
        <v>619.14666666666665</v>
      </c>
      <c r="L150" s="367">
        <f>SUM(L147:L149)</f>
        <v>967.36</v>
      </c>
    </row>
    <row r="151" spans="2:12" ht="11.25" customHeight="1">
      <c r="B151" s="362"/>
      <c r="C151" s="352"/>
      <c r="D151" s="352"/>
      <c r="E151" s="352"/>
      <c r="F151" s="352"/>
      <c r="G151" s="352"/>
      <c r="H151" s="353"/>
      <c r="I151" s="354"/>
      <c r="J151" s="354"/>
      <c r="K151" s="354"/>
      <c r="L151" s="355"/>
    </row>
    <row r="152" spans="2:12" ht="11.25" customHeight="1">
      <c r="B152" s="368" t="s">
        <v>257</v>
      </c>
      <c r="C152" s="352"/>
      <c r="D152" s="352"/>
      <c r="E152" s="352"/>
      <c r="F152" s="352"/>
      <c r="G152" s="352"/>
      <c r="H152" s="353"/>
      <c r="I152" s="354"/>
      <c r="J152" s="354"/>
      <c r="K152" s="354"/>
      <c r="L152" s="355"/>
    </row>
    <row r="153" spans="2:12" ht="11.25" customHeight="1">
      <c r="B153" s="362" t="s">
        <v>253</v>
      </c>
      <c r="C153" s="363">
        <f>중기사용료!G200</f>
        <v>21911</v>
      </c>
      <c r="D153" s="358" t="s">
        <v>227</v>
      </c>
      <c r="E153" s="373">
        <v>18.75</v>
      </c>
      <c r="F153" s="358" t="s">
        <v>228</v>
      </c>
      <c r="G153" s="364">
        <f>C153/E153</f>
        <v>1168.5866666666666</v>
      </c>
      <c r="H153" s="353"/>
      <c r="I153" s="354"/>
      <c r="J153" s="367">
        <f>G153</f>
        <v>1168.5866666666666</v>
      </c>
      <c r="K153" s="367"/>
      <c r="L153" s="369"/>
    </row>
    <row r="154" spans="2:12" ht="11.25" customHeight="1">
      <c r="B154" s="362" t="s">
        <v>254</v>
      </c>
      <c r="C154" s="363">
        <f>중기사용료!G194</f>
        <v>11278</v>
      </c>
      <c r="D154" s="358" t="s">
        <v>227</v>
      </c>
      <c r="E154" s="373">
        <v>18.75</v>
      </c>
      <c r="F154" s="358" t="s">
        <v>228</v>
      </c>
      <c r="G154" s="364">
        <f>C154/E154</f>
        <v>601.49333333333334</v>
      </c>
      <c r="H154" s="353"/>
      <c r="I154" s="354"/>
      <c r="J154" s="367"/>
      <c r="K154" s="367">
        <f>G154</f>
        <v>601.49333333333334</v>
      </c>
      <c r="L154" s="369"/>
    </row>
    <row r="155" spans="2:12" ht="11.25" customHeight="1">
      <c r="B155" s="362" t="s">
        <v>255</v>
      </c>
      <c r="C155" s="363">
        <f>중기사용료!G189</f>
        <v>7823</v>
      </c>
      <c r="D155" s="358" t="s">
        <v>227</v>
      </c>
      <c r="E155" s="373">
        <v>18.75</v>
      </c>
      <c r="F155" s="358" t="s">
        <v>228</v>
      </c>
      <c r="G155" s="364">
        <f>C155/E155</f>
        <v>417.22666666666669</v>
      </c>
      <c r="H155" s="353"/>
      <c r="I155" s="354"/>
      <c r="J155" s="367"/>
      <c r="K155" s="367"/>
      <c r="L155" s="369">
        <f>G155</f>
        <v>417.22666666666669</v>
      </c>
    </row>
    <row r="156" spans="2:12" ht="11.25" customHeight="1">
      <c r="B156" s="362" t="s">
        <v>256</v>
      </c>
      <c r="C156" s="352"/>
      <c r="D156" s="352"/>
      <c r="E156" s="352"/>
      <c r="F156" s="352"/>
      <c r="G156" s="364">
        <f>SUM(G153:G155)</f>
        <v>2187.3066666666664</v>
      </c>
      <c r="H156" s="353"/>
      <c r="I156" s="367">
        <f>SUM(J156:L156)</f>
        <v>2187.3066666666664</v>
      </c>
      <c r="J156" s="367">
        <f>SUM(J153:J155)</f>
        <v>1168.5866666666666</v>
      </c>
      <c r="K156" s="367">
        <f>SUM(K153:K155)</f>
        <v>601.49333333333334</v>
      </c>
      <c r="L156" s="367">
        <f>SUM(L153:L155)</f>
        <v>417.22666666666669</v>
      </c>
    </row>
    <row r="157" spans="2:12" ht="11.25" customHeight="1">
      <c r="B157" s="351"/>
      <c r="C157" s="352"/>
      <c r="D157" s="352"/>
      <c r="E157" s="352"/>
      <c r="F157" s="352"/>
      <c r="G157" s="352"/>
      <c r="H157" s="353"/>
      <c r="I157" s="354"/>
      <c r="J157" s="354"/>
      <c r="K157" s="354"/>
      <c r="L157" s="355"/>
    </row>
    <row r="158" spans="2:12" ht="11.25" customHeight="1">
      <c r="B158" s="368" t="s">
        <v>270</v>
      </c>
      <c r="C158" s="352"/>
      <c r="D158" s="352"/>
      <c r="E158" s="352"/>
      <c r="F158" s="352"/>
      <c r="G158" s="352"/>
      <c r="H158" s="353"/>
      <c r="I158" s="354"/>
      <c r="J158" s="354"/>
      <c r="K158" s="354"/>
      <c r="L158" s="355"/>
    </row>
    <row r="159" spans="2:12" ht="11.25" customHeight="1">
      <c r="B159" s="362" t="s">
        <v>253</v>
      </c>
      <c r="C159" s="363">
        <f>중기사용료!G148</f>
        <v>23389</v>
      </c>
      <c r="D159" s="358" t="s">
        <v>227</v>
      </c>
      <c r="E159" s="373">
        <v>18.75</v>
      </c>
      <c r="F159" s="358" t="s">
        <v>228</v>
      </c>
      <c r="G159" s="364">
        <f>C159/E159</f>
        <v>1247.4133333333334</v>
      </c>
      <c r="H159" s="353"/>
      <c r="I159" s="354"/>
      <c r="J159" s="367">
        <f>G159</f>
        <v>1247.4133333333334</v>
      </c>
      <c r="K159" s="367"/>
      <c r="L159" s="369"/>
    </row>
    <row r="160" spans="2:12" ht="11.25" customHeight="1">
      <c r="B160" s="362" t="s">
        <v>254</v>
      </c>
      <c r="C160" s="363">
        <f>중기사용료!G142</f>
        <v>2318</v>
      </c>
      <c r="D160" s="358" t="s">
        <v>227</v>
      </c>
      <c r="E160" s="373">
        <v>18.75</v>
      </c>
      <c r="F160" s="358" t="s">
        <v>228</v>
      </c>
      <c r="G160" s="364">
        <f>C160/E160</f>
        <v>123.62666666666667</v>
      </c>
      <c r="H160" s="353"/>
      <c r="I160" s="354"/>
      <c r="J160" s="367"/>
      <c r="K160" s="367">
        <f>G160</f>
        <v>123.62666666666667</v>
      </c>
      <c r="L160" s="369"/>
    </row>
    <row r="161" spans="2:12" ht="11.25" customHeight="1">
      <c r="B161" s="362" t="s">
        <v>255</v>
      </c>
      <c r="C161" s="363">
        <f>중기사용료!G137</f>
        <v>1563</v>
      </c>
      <c r="D161" s="358" t="s">
        <v>227</v>
      </c>
      <c r="E161" s="373">
        <v>18.75</v>
      </c>
      <c r="F161" s="358" t="s">
        <v>228</v>
      </c>
      <c r="G161" s="364">
        <f>C161/E161</f>
        <v>83.36</v>
      </c>
      <c r="H161" s="353"/>
      <c r="I161" s="354"/>
      <c r="J161" s="367"/>
      <c r="K161" s="367"/>
      <c r="L161" s="369">
        <f>G161</f>
        <v>83.36</v>
      </c>
    </row>
    <row r="162" spans="2:12" ht="11.25" customHeight="1">
      <c r="B162" s="362" t="s">
        <v>256</v>
      </c>
      <c r="C162" s="352"/>
      <c r="D162" s="352"/>
      <c r="E162" s="352"/>
      <c r="F162" s="352"/>
      <c r="G162" s="364">
        <f>SUM(G159:G161)</f>
        <v>1454.3999999999999</v>
      </c>
      <c r="H162" s="353"/>
      <c r="I162" s="367">
        <f>SUM(J162:L162)</f>
        <v>1454.3999999999999</v>
      </c>
      <c r="J162" s="367">
        <f>SUM(J159:J161)</f>
        <v>1247.4133333333334</v>
      </c>
      <c r="K162" s="367">
        <f>SUM(K159:K161)</f>
        <v>123.62666666666667</v>
      </c>
      <c r="L162" s="367">
        <f>SUM(L159:L161)</f>
        <v>83.36</v>
      </c>
    </row>
    <row r="163" spans="2:12" ht="11.25" customHeight="1">
      <c r="B163" s="351"/>
      <c r="C163" s="352"/>
      <c r="D163" s="352"/>
      <c r="E163" s="352"/>
      <c r="F163" s="352"/>
      <c r="G163" s="352"/>
      <c r="H163" s="353"/>
      <c r="I163" s="354"/>
      <c r="J163" s="354"/>
      <c r="K163" s="354"/>
      <c r="L163" s="355"/>
    </row>
    <row r="164" spans="2:12" ht="11.25" customHeight="1">
      <c r="B164" s="351"/>
      <c r="C164" s="352"/>
      <c r="D164" s="352"/>
      <c r="E164" s="352"/>
      <c r="F164" s="352"/>
      <c r="G164" s="352"/>
      <c r="H164" s="353"/>
      <c r="I164" s="354"/>
      <c r="J164" s="354"/>
      <c r="K164" s="354"/>
      <c r="L164" s="355"/>
    </row>
    <row r="165" spans="2:12" s="372" customFormat="1" ht="11.25" customHeight="1">
      <c r="B165" s="371" t="s">
        <v>263</v>
      </c>
      <c r="C165" s="347"/>
      <c r="D165" s="347"/>
      <c r="E165" s="347"/>
      <c r="F165" s="347"/>
      <c r="G165" s="347"/>
      <c r="H165" s="348"/>
      <c r="I165" s="349">
        <f>(SUM(J165:L165))</f>
        <v>7034</v>
      </c>
      <c r="J165" s="349">
        <f>INT(J144+J150+J156+J162)</f>
        <v>4223</v>
      </c>
      <c r="K165" s="349">
        <f>INT(K144+K150+K156+K162)</f>
        <v>1344</v>
      </c>
      <c r="L165" s="349">
        <f>INT(L144+L150+L156+L162)</f>
        <v>1467</v>
      </c>
    </row>
    <row r="166" spans="2:12" ht="11.25" customHeight="1">
      <c r="B166" s="351"/>
      <c r="C166" s="352"/>
      <c r="D166" s="352"/>
      <c r="E166" s="352"/>
      <c r="F166" s="352"/>
      <c r="G166" s="352"/>
      <c r="H166" s="353"/>
      <c r="I166" s="354"/>
      <c r="J166" s="354"/>
      <c r="K166" s="354"/>
      <c r="L166" s="355"/>
    </row>
    <row r="167" spans="2:12" ht="11.25" customHeight="1">
      <c r="B167" s="351"/>
      <c r="C167" s="352"/>
      <c r="D167" s="352"/>
      <c r="E167" s="352"/>
      <c r="F167" s="352"/>
      <c r="G167" s="352"/>
      <c r="H167" s="353"/>
      <c r="I167" s="354"/>
      <c r="J167" s="354"/>
      <c r="K167" s="354"/>
      <c r="L167" s="355"/>
    </row>
    <row r="168" spans="2:12" ht="11.25" customHeight="1">
      <c r="B168" s="351"/>
      <c r="C168" s="352"/>
      <c r="D168" s="352"/>
      <c r="E168" s="352"/>
      <c r="F168" s="352"/>
      <c r="G168" s="352"/>
      <c r="H168" s="353"/>
      <c r="I168" s="354"/>
      <c r="J168" s="354"/>
      <c r="K168" s="354"/>
      <c r="L168" s="355"/>
    </row>
    <row r="169" spans="2:12" ht="11.25" customHeight="1">
      <c r="B169" s="351"/>
      <c r="C169" s="352"/>
      <c r="D169" s="352"/>
      <c r="E169" s="352"/>
      <c r="F169" s="352"/>
      <c r="G169" s="352"/>
      <c r="H169" s="353"/>
      <c r="I169" s="354"/>
      <c r="J169" s="354"/>
      <c r="K169" s="354"/>
      <c r="L169" s="355"/>
    </row>
    <row r="170" spans="2:12" ht="11.25" customHeight="1">
      <c r="B170" s="351"/>
      <c r="C170" s="352"/>
      <c r="D170" s="352"/>
      <c r="E170" s="352"/>
      <c r="F170" s="352"/>
      <c r="G170" s="352"/>
      <c r="H170" s="353"/>
      <c r="I170" s="354"/>
      <c r="J170" s="354"/>
      <c r="K170" s="354"/>
      <c r="L170" s="355"/>
    </row>
    <row r="171" spans="2:12" ht="11.25" customHeight="1">
      <c r="B171" s="351"/>
      <c r="C171" s="352"/>
      <c r="D171" s="352"/>
      <c r="E171" s="352"/>
      <c r="F171" s="352"/>
      <c r="G171" s="352"/>
      <c r="H171" s="353"/>
      <c r="I171" s="354"/>
      <c r="J171" s="354"/>
      <c r="K171" s="354"/>
      <c r="L171" s="355"/>
    </row>
    <row r="172" spans="2:12" ht="11.25" customHeight="1">
      <c r="B172" s="351"/>
      <c r="C172" s="352"/>
      <c r="D172" s="352"/>
      <c r="E172" s="352"/>
      <c r="F172" s="352"/>
      <c r="G172" s="352"/>
      <c r="H172" s="353"/>
      <c r="I172" s="354"/>
      <c r="J172" s="354"/>
      <c r="K172" s="354"/>
      <c r="L172" s="355"/>
    </row>
    <row r="173" spans="2:12" ht="11.25" customHeight="1">
      <c r="B173" s="351"/>
      <c r="C173" s="352"/>
      <c r="D173" s="352"/>
      <c r="E173" s="352"/>
      <c r="F173" s="352"/>
      <c r="G173" s="352"/>
      <c r="H173" s="353"/>
      <c r="I173" s="354"/>
      <c r="J173" s="354"/>
      <c r="K173" s="354"/>
      <c r="L173" s="355"/>
    </row>
    <row r="174" spans="2:12" ht="11.25" customHeight="1">
      <c r="B174" s="351"/>
      <c r="C174" s="352"/>
      <c r="D174" s="352"/>
      <c r="E174" s="352"/>
      <c r="F174" s="352"/>
      <c r="G174" s="352"/>
      <c r="H174" s="353"/>
      <c r="I174" s="354"/>
      <c r="J174" s="354"/>
      <c r="K174" s="354"/>
      <c r="L174" s="355"/>
    </row>
    <row r="175" spans="2:12" ht="11.25" customHeight="1">
      <c r="B175" s="351"/>
      <c r="C175" s="352"/>
      <c r="D175" s="352"/>
      <c r="E175" s="352"/>
      <c r="F175" s="352"/>
      <c r="G175" s="352"/>
      <c r="H175" s="353"/>
      <c r="I175" s="354"/>
      <c r="J175" s="354"/>
      <c r="K175" s="354"/>
      <c r="L175" s="355"/>
    </row>
    <row r="176" spans="2:12" ht="11.25" customHeight="1">
      <c r="B176" s="351"/>
      <c r="C176" s="352"/>
      <c r="D176" s="352"/>
      <c r="E176" s="352"/>
      <c r="F176" s="352"/>
      <c r="G176" s="352"/>
      <c r="H176" s="353"/>
      <c r="I176" s="354"/>
      <c r="J176" s="354"/>
      <c r="K176" s="354"/>
      <c r="L176" s="355"/>
    </row>
    <row r="177" spans="2:12" ht="11.25" customHeight="1">
      <c r="B177" s="351"/>
      <c r="C177" s="352"/>
      <c r="D177" s="352"/>
      <c r="E177" s="352"/>
      <c r="F177" s="352"/>
      <c r="G177" s="352"/>
      <c r="H177" s="353"/>
      <c r="I177" s="354"/>
      <c r="J177" s="354"/>
      <c r="K177" s="354"/>
      <c r="L177" s="355"/>
    </row>
    <row r="178" spans="2:12" ht="11.25" customHeight="1">
      <c r="B178" s="351"/>
      <c r="C178" s="352"/>
      <c r="D178" s="352"/>
      <c r="E178" s="352"/>
      <c r="F178" s="352"/>
      <c r="G178" s="352"/>
      <c r="H178" s="353"/>
      <c r="I178" s="354"/>
      <c r="J178" s="354"/>
      <c r="K178" s="354"/>
      <c r="L178" s="355"/>
    </row>
    <row r="179" spans="2:12" ht="11.25" customHeight="1">
      <c r="B179" s="351"/>
      <c r="C179" s="352"/>
      <c r="D179" s="352"/>
      <c r="E179" s="352"/>
      <c r="F179" s="352"/>
      <c r="G179" s="352"/>
      <c r="H179" s="353"/>
      <c r="I179" s="354"/>
      <c r="J179" s="354"/>
      <c r="K179" s="354"/>
      <c r="L179" s="355"/>
    </row>
    <row r="180" spans="2:12" ht="11.25" customHeight="1">
      <c r="B180" s="351"/>
      <c r="C180" s="352"/>
      <c r="D180" s="352"/>
      <c r="E180" s="352"/>
      <c r="F180" s="352"/>
      <c r="G180" s="352"/>
      <c r="H180" s="353"/>
      <c r="I180" s="354"/>
      <c r="J180" s="354"/>
      <c r="K180" s="354"/>
      <c r="L180" s="355"/>
    </row>
    <row r="181" spans="2:12" ht="11.25" customHeight="1">
      <c r="B181" s="351"/>
      <c r="C181" s="352"/>
      <c r="D181" s="352"/>
      <c r="E181" s="352"/>
      <c r="F181" s="352"/>
      <c r="G181" s="352"/>
      <c r="H181" s="353"/>
      <c r="I181" s="354"/>
      <c r="J181" s="354"/>
      <c r="K181" s="354"/>
      <c r="L181" s="355"/>
    </row>
    <row r="182" spans="2:12" ht="11.25" customHeight="1">
      <c r="B182" s="351"/>
      <c r="C182" s="352"/>
      <c r="D182" s="352"/>
      <c r="E182" s="352"/>
      <c r="F182" s="352"/>
      <c r="G182" s="352"/>
      <c r="H182" s="353"/>
      <c r="I182" s="354"/>
      <c r="J182" s="354"/>
      <c r="K182" s="354"/>
      <c r="L182" s="355"/>
    </row>
    <row r="183" spans="2:12" ht="11.25" customHeight="1">
      <c r="B183" s="351"/>
      <c r="C183" s="352"/>
      <c r="D183" s="352"/>
      <c r="E183" s="352"/>
      <c r="F183" s="352"/>
      <c r="G183" s="352"/>
      <c r="H183" s="353"/>
      <c r="I183" s="354"/>
      <c r="J183" s="354"/>
      <c r="K183" s="354"/>
      <c r="L183" s="355"/>
    </row>
    <row r="184" spans="2:12" ht="11.25" customHeight="1">
      <c r="B184" s="351"/>
      <c r="C184" s="352"/>
      <c r="D184" s="352"/>
      <c r="E184" s="352"/>
      <c r="F184" s="352"/>
      <c r="G184" s="352"/>
      <c r="H184" s="353"/>
      <c r="I184" s="354"/>
      <c r="J184" s="354"/>
      <c r="K184" s="354"/>
      <c r="L184" s="355"/>
    </row>
    <row r="185" spans="2:12" ht="11.25" customHeight="1">
      <c r="B185" s="351"/>
      <c r="C185" s="352"/>
      <c r="D185" s="352"/>
      <c r="E185" s="352"/>
      <c r="F185" s="352"/>
      <c r="G185" s="352"/>
      <c r="H185" s="353"/>
      <c r="I185" s="354"/>
      <c r="J185" s="354"/>
      <c r="K185" s="354"/>
      <c r="L185" s="355"/>
    </row>
    <row r="186" spans="2:12" ht="11.25" customHeight="1">
      <c r="B186" s="351"/>
      <c r="C186" s="352"/>
      <c r="D186" s="352"/>
      <c r="E186" s="352"/>
      <c r="F186" s="352"/>
      <c r="G186" s="352"/>
      <c r="H186" s="353"/>
      <c r="I186" s="354"/>
      <c r="J186" s="354"/>
      <c r="K186" s="354"/>
      <c r="L186" s="355"/>
    </row>
    <row r="187" spans="2:12" ht="11.25" customHeight="1">
      <c r="B187" s="351"/>
      <c r="C187" s="352"/>
      <c r="D187" s="352"/>
      <c r="E187" s="352"/>
      <c r="F187" s="352"/>
      <c r="G187" s="352"/>
      <c r="H187" s="353"/>
      <c r="I187" s="354"/>
      <c r="J187" s="354"/>
      <c r="K187" s="354"/>
      <c r="L187" s="355"/>
    </row>
    <row r="188" spans="2:12" ht="11.25" customHeight="1">
      <c r="B188" s="351"/>
      <c r="C188" s="352"/>
      <c r="D188" s="352"/>
      <c r="E188" s="352"/>
      <c r="F188" s="352"/>
      <c r="G188" s="352"/>
      <c r="H188" s="353"/>
      <c r="I188" s="354"/>
      <c r="J188" s="354"/>
      <c r="K188" s="354"/>
      <c r="L188" s="355"/>
    </row>
    <row r="189" spans="2:12" ht="11.25" customHeight="1">
      <c r="B189" s="351"/>
      <c r="C189" s="352"/>
      <c r="D189" s="352"/>
      <c r="E189" s="352"/>
      <c r="F189" s="352"/>
      <c r="G189" s="352"/>
      <c r="H189" s="353"/>
      <c r="I189" s="354"/>
      <c r="J189" s="354"/>
      <c r="K189" s="354"/>
      <c r="L189" s="355"/>
    </row>
    <row r="190" spans="2:12" ht="11.25" customHeight="1">
      <c r="B190" s="351"/>
      <c r="C190" s="352"/>
      <c r="D190" s="352"/>
      <c r="E190" s="352"/>
      <c r="F190" s="352"/>
      <c r="G190" s="352"/>
      <c r="H190" s="353"/>
      <c r="I190" s="354"/>
      <c r="J190" s="354"/>
      <c r="K190" s="354"/>
      <c r="L190" s="355"/>
    </row>
    <row r="191" spans="2:12" ht="11.25" customHeight="1">
      <c r="B191" s="351"/>
      <c r="C191" s="352"/>
      <c r="D191" s="352"/>
      <c r="E191" s="352"/>
      <c r="F191" s="352"/>
      <c r="G191" s="352"/>
      <c r="H191" s="353"/>
      <c r="I191" s="354"/>
      <c r="J191" s="354"/>
      <c r="K191" s="354"/>
      <c r="L191" s="355"/>
    </row>
    <row r="192" spans="2:12" ht="11.25" customHeight="1">
      <c r="B192" s="351"/>
      <c r="C192" s="352"/>
      <c r="D192" s="352"/>
      <c r="E192" s="352"/>
      <c r="F192" s="352"/>
      <c r="G192" s="352"/>
      <c r="H192" s="353"/>
      <c r="I192" s="354"/>
      <c r="J192" s="354"/>
      <c r="K192" s="354"/>
      <c r="L192" s="355"/>
    </row>
    <row r="193" spans="2:12" ht="11.25" customHeight="1">
      <c r="B193" s="351"/>
      <c r="C193" s="352"/>
      <c r="D193" s="352"/>
      <c r="E193" s="352"/>
      <c r="F193" s="352"/>
      <c r="G193" s="352"/>
      <c r="H193" s="353"/>
      <c r="I193" s="354"/>
      <c r="J193" s="354"/>
      <c r="K193" s="354"/>
      <c r="L193" s="355"/>
    </row>
    <row r="194" spans="2:12" ht="11.25" customHeight="1">
      <c r="B194" s="351"/>
      <c r="C194" s="352"/>
      <c r="D194" s="352"/>
      <c r="E194" s="352"/>
      <c r="F194" s="352"/>
      <c r="G194" s="352"/>
      <c r="H194" s="353"/>
      <c r="I194" s="354"/>
      <c r="J194" s="354"/>
      <c r="K194" s="354"/>
      <c r="L194" s="355"/>
    </row>
    <row r="195" spans="2:12" ht="11.25" customHeight="1">
      <c r="B195" s="351"/>
      <c r="C195" s="352"/>
      <c r="D195" s="352"/>
      <c r="E195" s="352"/>
      <c r="F195" s="352"/>
      <c r="G195" s="352"/>
      <c r="H195" s="353"/>
      <c r="I195" s="354"/>
      <c r="J195" s="354"/>
      <c r="K195" s="354"/>
      <c r="L195" s="355"/>
    </row>
    <row r="196" spans="2:12" ht="11.25" customHeight="1">
      <c r="B196" s="351"/>
      <c r="C196" s="352"/>
      <c r="D196" s="352"/>
      <c r="E196" s="352"/>
      <c r="F196" s="352"/>
      <c r="G196" s="352"/>
      <c r="H196" s="353"/>
      <c r="I196" s="354"/>
      <c r="J196" s="354"/>
      <c r="K196" s="354"/>
      <c r="L196" s="355"/>
    </row>
    <row r="197" spans="2:12" ht="11.25" customHeight="1">
      <c r="B197" s="351"/>
      <c r="C197" s="352"/>
      <c r="D197" s="352"/>
      <c r="E197" s="352"/>
      <c r="F197" s="352"/>
      <c r="G197" s="352"/>
      <c r="H197" s="353"/>
      <c r="I197" s="354"/>
      <c r="J197" s="354"/>
      <c r="K197" s="354"/>
      <c r="L197" s="355"/>
    </row>
    <row r="198" spans="2:12" ht="11.25" customHeight="1">
      <c r="B198" s="351"/>
      <c r="C198" s="352"/>
      <c r="D198" s="352"/>
      <c r="E198" s="352"/>
      <c r="F198" s="352"/>
      <c r="G198" s="352"/>
      <c r="H198" s="353"/>
      <c r="I198" s="354"/>
      <c r="J198" s="354"/>
      <c r="K198" s="354"/>
      <c r="L198" s="355"/>
    </row>
    <row r="199" spans="2:12" ht="11.25" customHeight="1">
      <c r="B199" s="351"/>
      <c r="C199" s="352"/>
      <c r="D199" s="352"/>
      <c r="E199" s="352"/>
      <c r="F199" s="352"/>
      <c r="G199" s="352"/>
      <c r="H199" s="353"/>
      <c r="I199" s="354"/>
      <c r="J199" s="354"/>
      <c r="K199" s="354"/>
      <c r="L199" s="355"/>
    </row>
    <row r="200" spans="2:12" ht="11.25" customHeight="1">
      <c r="B200" s="351"/>
      <c r="C200" s="352"/>
      <c r="D200" s="352"/>
      <c r="E200" s="352"/>
      <c r="F200" s="352"/>
      <c r="G200" s="352"/>
      <c r="H200" s="353"/>
      <c r="I200" s="354"/>
      <c r="J200" s="354"/>
      <c r="K200" s="354"/>
      <c r="L200" s="355"/>
    </row>
    <row r="201" spans="2:12" ht="11.25" customHeight="1">
      <c r="B201" s="351"/>
      <c r="C201" s="352"/>
      <c r="D201" s="352"/>
      <c r="E201" s="352"/>
      <c r="F201" s="352"/>
      <c r="G201" s="352"/>
      <c r="H201" s="353"/>
      <c r="I201" s="354"/>
      <c r="J201" s="354"/>
      <c r="K201" s="354"/>
      <c r="L201" s="355"/>
    </row>
    <row r="202" spans="2:12" ht="11.25" customHeight="1">
      <c r="B202" s="371" t="s">
        <v>271</v>
      </c>
      <c r="C202" s="352"/>
      <c r="D202" s="352"/>
      <c r="E202" s="352"/>
      <c r="F202" s="352"/>
      <c r="G202" s="352"/>
      <c r="H202" s="353"/>
      <c r="I202" s="354"/>
      <c r="J202" s="354"/>
      <c r="K202" s="354"/>
      <c r="L202" s="355"/>
    </row>
    <row r="203" spans="2:12" ht="11.25" customHeight="1">
      <c r="B203" s="351"/>
      <c r="C203" s="352"/>
      <c r="D203" s="352"/>
      <c r="E203" s="352"/>
      <c r="F203" s="352"/>
      <c r="G203" s="352"/>
      <c r="H203" s="353"/>
      <c r="I203" s="354"/>
      <c r="J203" s="354"/>
      <c r="K203" s="354"/>
      <c r="L203" s="355"/>
    </row>
    <row r="204" spans="2:12" ht="11.25" customHeight="1">
      <c r="B204" s="351" t="s">
        <v>235</v>
      </c>
      <c r="C204" s="352"/>
      <c r="D204" s="352"/>
      <c r="E204" s="352"/>
      <c r="F204" s="352"/>
      <c r="G204" s="352"/>
      <c r="H204" s="353"/>
      <c r="I204" s="354"/>
      <c r="J204" s="354"/>
      <c r="K204" s="354"/>
      <c r="L204" s="355"/>
    </row>
    <row r="205" spans="2:12" ht="11.25" customHeight="1">
      <c r="B205" s="351"/>
      <c r="C205" s="352"/>
      <c r="D205" s="352"/>
      <c r="E205" s="352"/>
      <c r="F205" s="352"/>
      <c r="G205" s="352"/>
      <c r="H205" s="353"/>
      <c r="I205" s="354"/>
      <c r="J205" s="354"/>
      <c r="K205" s="354"/>
      <c r="L205" s="355"/>
    </row>
    <row r="206" spans="2:12" ht="11.25" customHeight="1">
      <c r="B206" s="351" t="s">
        <v>236</v>
      </c>
      <c r="C206" s="352"/>
      <c r="D206" s="352"/>
      <c r="E206" s="352"/>
      <c r="F206" s="352"/>
      <c r="G206" s="352"/>
      <c r="H206" s="353"/>
      <c r="I206" s="354"/>
      <c r="J206" s="354"/>
      <c r="K206" s="354"/>
      <c r="L206" s="355"/>
    </row>
    <row r="207" spans="2:12" ht="11.25" customHeight="1">
      <c r="B207" s="351"/>
      <c r="C207" s="352"/>
      <c r="D207" s="352"/>
      <c r="E207" s="352"/>
      <c r="F207" s="352"/>
      <c r="G207" s="352"/>
      <c r="H207" s="353"/>
      <c r="I207" s="354"/>
      <c r="J207" s="354"/>
      <c r="K207" s="354"/>
      <c r="L207" s="355"/>
    </row>
    <row r="208" spans="2:12" ht="11.25" customHeight="1">
      <c r="B208" s="351" t="s">
        <v>237</v>
      </c>
      <c r="C208" s="352"/>
      <c r="D208" s="352"/>
      <c r="E208" s="352"/>
      <c r="F208" s="352"/>
      <c r="G208" s="352"/>
      <c r="H208" s="353"/>
      <c r="I208" s="354"/>
      <c r="J208" s="354"/>
      <c r="K208" s="354"/>
      <c r="L208" s="355"/>
    </row>
    <row r="209" spans="2:12" ht="11.25" customHeight="1">
      <c r="B209" s="362" t="s">
        <v>238</v>
      </c>
      <c r="C209" s="363">
        <v>113536</v>
      </c>
      <c r="D209" s="352" t="s">
        <v>239</v>
      </c>
      <c r="E209" s="352"/>
      <c r="F209" s="358" t="s">
        <v>228</v>
      </c>
      <c r="G209" s="364">
        <f>ROUNDDOWN(C209/300,1)</f>
        <v>378.4</v>
      </c>
      <c r="H209" s="353"/>
      <c r="I209" s="354"/>
      <c r="J209" s="354"/>
      <c r="K209" s="354"/>
      <c r="L209" s="355"/>
    </row>
    <row r="210" spans="2:12" ht="11.25" customHeight="1">
      <c r="B210" s="365" t="s">
        <v>240</v>
      </c>
      <c r="C210" s="363">
        <v>83975</v>
      </c>
      <c r="D210" s="352" t="s">
        <v>239</v>
      </c>
      <c r="E210" s="352"/>
      <c r="F210" s="358" t="s">
        <v>228</v>
      </c>
      <c r="G210" s="364">
        <f>ROUNDDOWN(C210/300,1)</f>
        <v>279.89999999999998</v>
      </c>
      <c r="H210" s="353"/>
      <c r="I210" s="354"/>
      <c r="J210" s="354"/>
      <c r="K210" s="354"/>
      <c r="L210" s="355"/>
    </row>
    <row r="211" spans="2:12" ht="11.25" customHeight="1">
      <c r="B211" s="365" t="s">
        <v>241</v>
      </c>
      <c r="C211" s="363">
        <v>83975</v>
      </c>
      <c r="D211" s="352" t="s">
        <v>239</v>
      </c>
      <c r="E211" s="352"/>
      <c r="F211" s="358" t="s">
        <v>228</v>
      </c>
      <c r="G211" s="364">
        <f>ROUNDDOWN(C211/300,1)</f>
        <v>279.89999999999998</v>
      </c>
      <c r="H211" s="353"/>
      <c r="I211" s="354"/>
      <c r="J211" s="354"/>
      <c r="K211" s="354"/>
      <c r="L211" s="355"/>
    </row>
    <row r="212" spans="2:12" ht="11.25" customHeight="1">
      <c r="B212" s="365" t="s">
        <v>242</v>
      </c>
      <c r="C212" s="366">
        <f>SUM(G209:G211)</f>
        <v>938.19999999999993</v>
      </c>
      <c r="D212" s="352"/>
      <c r="E212" s="352"/>
      <c r="F212" s="352"/>
      <c r="G212" s="352"/>
      <c r="H212" s="353"/>
      <c r="I212" s="367">
        <f>SUM(J212:L212)</f>
        <v>938.19999999999993</v>
      </c>
      <c r="J212" s="367">
        <f>C212</f>
        <v>938.19999999999993</v>
      </c>
      <c r="K212" s="354"/>
      <c r="L212" s="355"/>
    </row>
    <row r="213" spans="2:12" ht="11.25" customHeight="1">
      <c r="B213" s="351"/>
      <c r="C213" s="352"/>
      <c r="D213" s="352"/>
      <c r="E213" s="352"/>
      <c r="F213" s="352"/>
      <c r="G213" s="352"/>
      <c r="H213" s="353"/>
      <c r="I213" s="354"/>
      <c r="J213" s="354"/>
      <c r="K213" s="354"/>
      <c r="L213" s="355"/>
    </row>
    <row r="214" spans="2:12" ht="11.25" customHeight="1">
      <c r="B214" s="368" t="s">
        <v>243</v>
      </c>
      <c r="C214" s="352"/>
      <c r="D214" s="352"/>
      <c r="E214" s="352"/>
      <c r="F214" s="352"/>
      <c r="G214" s="352"/>
      <c r="H214" s="353"/>
      <c r="I214" s="354"/>
      <c r="J214" s="354"/>
      <c r="K214" s="354"/>
      <c r="L214" s="355"/>
    </row>
    <row r="215" spans="2:12" ht="11.25" customHeight="1">
      <c r="B215" s="362" t="s">
        <v>253</v>
      </c>
      <c r="C215" s="363">
        <f>중기사용료!$G$176</f>
        <v>23389</v>
      </c>
      <c r="D215" s="358" t="s">
        <v>227</v>
      </c>
      <c r="E215" s="364">
        <v>37.5</v>
      </c>
      <c r="F215" s="358" t="s">
        <v>228</v>
      </c>
      <c r="G215" s="364">
        <f>C215/E215</f>
        <v>623.70666666666671</v>
      </c>
      <c r="H215" s="353"/>
      <c r="I215" s="354"/>
      <c r="J215" s="367">
        <f>G215</f>
        <v>623.70666666666671</v>
      </c>
      <c r="K215" s="367"/>
      <c r="L215" s="369"/>
    </row>
    <row r="216" spans="2:12" ht="11.25" customHeight="1">
      <c r="B216" s="362" t="s">
        <v>254</v>
      </c>
      <c r="C216" s="363">
        <f>중기사용료!$G$170</f>
        <v>4701</v>
      </c>
      <c r="D216" s="358" t="s">
        <v>227</v>
      </c>
      <c r="E216" s="364">
        <v>37.5</v>
      </c>
      <c r="F216" s="358" t="s">
        <v>228</v>
      </c>
      <c r="G216" s="364">
        <f>C216/E216</f>
        <v>125.36</v>
      </c>
      <c r="H216" s="353"/>
      <c r="I216" s="354"/>
      <c r="J216" s="367"/>
      <c r="K216" s="367">
        <f>G216</f>
        <v>125.36</v>
      </c>
      <c r="L216" s="369"/>
    </row>
    <row r="217" spans="2:12" ht="11.25" customHeight="1">
      <c r="B217" s="362" t="s">
        <v>255</v>
      </c>
      <c r="C217" s="363">
        <f>중기사용료!$G$165</f>
        <v>6785</v>
      </c>
      <c r="D217" s="358" t="s">
        <v>227</v>
      </c>
      <c r="E217" s="364">
        <v>37.5</v>
      </c>
      <c r="F217" s="358" t="s">
        <v>228</v>
      </c>
      <c r="G217" s="364">
        <f>C217/E217</f>
        <v>180.93333333333334</v>
      </c>
      <c r="H217" s="353"/>
      <c r="I217" s="354"/>
      <c r="J217" s="367"/>
      <c r="K217" s="367"/>
      <c r="L217" s="369">
        <f>G217</f>
        <v>180.93333333333334</v>
      </c>
    </row>
    <row r="218" spans="2:12" ht="11.25" customHeight="1">
      <c r="B218" s="362" t="s">
        <v>256</v>
      </c>
      <c r="C218" s="352"/>
      <c r="D218" s="352"/>
      <c r="E218" s="352"/>
      <c r="F218" s="352"/>
      <c r="G218" s="364">
        <f>SUM(G215:G217)</f>
        <v>930</v>
      </c>
      <c r="H218" s="353"/>
      <c r="I218" s="367">
        <f>SUM(J218:L218)</f>
        <v>930</v>
      </c>
      <c r="J218" s="367">
        <f>SUM(J215:J217)</f>
        <v>623.70666666666671</v>
      </c>
      <c r="K218" s="367">
        <f>SUM(K215:K217)</f>
        <v>125.36</v>
      </c>
      <c r="L218" s="367">
        <f>SUM(L215:L217)</f>
        <v>180.93333333333334</v>
      </c>
    </row>
    <row r="219" spans="2:12" ht="11.25" customHeight="1">
      <c r="B219" s="362"/>
      <c r="C219" s="352"/>
      <c r="D219" s="352"/>
      <c r="E219" s="352"/>
      <c r="F219" s="352"/>
      <c r="G219" s="352"/>
      <c r="H219" s="353"/>
      <c r="I219" s="354"/>
      <c r="J219" s="354"/>
      <c r="K219" s="354"/>
      <c r="L219" s="355"/>
    </row>
    <row r="220" spans="2:12" ht="11.25" customHeight="1">
      <c r="B220" s="368" t="s">
        <v>257</v>
      </c>
      <c r="C220" s="352"/>
      <c r="D220" s="352"/>
      <c r="E220" s="352"/>
      <c r="F220" s="352"/>
      <c r="G220" s="352"/>
      <c r="H220" s="353"/>
      <c r="I220" s="354"/>
      <c r="J220" s="354"/>
      <c r="K220" s="354"/>
      <c r="L220" s="355"/>
    </row>
    <row r="221" spans="2:12" ht="11.25" customHeight="1">
      <c r="B221" s="362" t="s">
        <v>253</v>
      </c>
      <c r="C221" s="363">
        <f>중기사용료!$G$200</f>
        <v>21911</v>
      </c>
      <c r="D221" s="358" t="s">
        <v>227</v>
      </c>
      <c r="E221" s="364">
        <v>37.5</v>
      </c>
      <c r="F221" s="358" t="s">
        <v>228</v>
      </c>
      <c r="G221" s="364">
        <f>C221/E221</f>
        <v>584.29333333333329</v>
      </c>
      <c r="H221" s="353"/>
      <c r="I221" s="354"/>
      <c r="J221" s="367">
        <f>G221</f>
        <v>584.29333333333329</v>
      </c>
      <c r="K221" s="367"/>
      <c r="L221" s="369"/>
    </row>
    <row r="222" spans="2:12" ht="11.25" customHeight="1">
      <c r="B222" s="362" t="s">
        <v>254</v>
      </c>
      <c r="C222" s="363">
        <f>중기사용료!$G$194</f>
        <v>11278</v>
      </c>
      <c r="D222" s="358" t="s">
        <v>227</v>
      </c>
      <c r="E222" s="364">
        <v>37.5</v>
      </c>
      <c r="F222" s="358" t="s">
        <v>228</v>
      </c>
      <c r="G222" s="364">
        <f>C222/E222</f>
        <v>300.74666666666667</v>
      </c>
      <c r="H222" s="353"/>
      <c r="I222" s="354"/>
      <c r="J222" s="367"/>
      <c r="K222" s="367">
        <f>G222</f>
        <v>300.74666666666667</v>
      </c>
      <c r="L222" s="369"/>
    </row>
    <row r="223" spans="2:12" ht="11.25" customHeight="1">
      <c r="B223" s="362" t="s">
        <v>255</v>
      </c>
      <c r="C223" s="363">
        <f>중기사용료!$G$189</f>
        <v>7823</v>
      </c>
      <c r="D223" s="358" t="s">
        <v>227</v>
      </c>
      <c r="E223" s="364">
        <v>37.5</v>
      </c>
      <c r="F223" s="358" t="s">
        <v>228</v>
      </c>
      <c r="G223" s="364">
        <f>C223/E223</f>
        <v>208.61333333333334</v>
      </c>
      <c r="H223" s="353"/>
      <c r="I223" s="354"/>
      <c r="J223" s="367"/>
      <c r="K223" s="367"/>
      <c r="L223" s="369">
        <f>G223</f>
        <v>208.61333333333334</v>
      </c>
    </row>
    <row r="224" spans="2:12" ht="11.25" customHeight="1">
      <c r="B224" s="362" t="s">
        <v>256</v>
      </c>
      <c r="C224" s="352"/>
      <c r="D224" s="352"/>
      <c r="E224" s="352"/>
      <c r="F224" s="352"/>
      <c r="G224" s="364">
        <f>SUM(G221:G223)</f>
        <v>1093.6533333333332</v>
      </c>
      <c r="H224" s="353"/>
      <c r="I224" s="367">
        <f>SUM(J224:L224)</f>
        <v>1093.6533333333332</v>
      </c>
      <c r="J224" s="367">
        <f>SUM(J221:J223)</f>
        <v>584.29333333333329</v>
      </c>
      <c r="K224" s="367">
        <f>SUM(K221:K223)</f>
        <v>300.74666666666667</v>
      </c>
      <c r="L224" s="367">
        <f>SUM(L221:L223)</f>
        <v>208.61333333333334</v>
      </c>
    </row>
    <row r="225" spans="2:12" ht="11.25" customHeight="1">
      <c r="B225" s="351"/>
      <c r="C225" s="352"/>
      <c r="D225" s="352"/>
      <c r="E225" s="352"/>
      <c r="F225" s="352"/>
      <c r="G225" s="352"/>
      <c r="H225" s="353"/>
      <c r="I225" s="354"/>
      <c r="J225" s="354"/>
      <c r="K225" s="354"/>
      <c r="L225" s="355"/>
    </row>
    <row r="226" spans="2:12" ht="11.25" customHeight="1">
      <c r="B226" s="368" t="s">
        <v>258</v>
      </c>
      <c r="C226" s="352"/>
      <c r="D226" s="352"/>
      <c r="E226" s="352"/>
      <c r="F226" s="352"/>
      <c r="G226" s="352"/>
      <c r="H226" s="353"/>
      <c r="I226" s="354"/>
      <c r="J226" s="354"/>
      <c r="K226" s="354"/>
      <c r="L226" s="355"/>
    </row>
    <row r="227" spans="2:12" ht="11.25" customHeight="1">
      <c r="B227" s="368"/>
      <c r="C227" s="352"/>
      <c r="D227" s="352"/>
      <c r="E227" s="352"/>
      <c r="F227" s="352"/>
      <c r="G227" s="352"/>
      <c r="H227" s="353"/>
      <c r="I227" s="354"/>
      <c r="J227" s="354"/>
      <c r="K227" s="354"/>
      <c r="L227" s="355"/>
    </row>
    <row r="228" spans="2:12" ht="11.25" customHeight="1">
      <c r="B228" s="368" t="s">
        <v>259</v>
      </c>
      <c r="C228" s="352"/>
      <c r="D228" s="352"/>
      <c r="E228" s="352"/>
      <c r="F228" s="352"/>
      <c r="G228" s="352"/>
      <c r="H228" s="353"/>
      <c r="I228" s="354"/>
      <c r="J228" s="354"/>
      <c r="K228" s="354"/>
      <c r="L228" s="355"/>
    </row>
    <row r="229" spans="2:12" ht="11.25" customHeight="1">
      <c r="B229" s="362" t="s">
        <v>253</v>
      </c>
      <c r="C229" s="363">
        <f>중기사용료!$G$124</f>
        <v>23389</v>
      </c>
      <c r="D229" s="358" t="s">
        <v>227</v>
      </c>
      <c r="E229" s="364">
        <v>37.5</v>
      </c>
      <c r="F229" s="358" t="s">
        <v>228</v>
      </c>
      <c r="G229" s="364">
        <f>C229/E229</f>
        <v>623.70666666666671</v>
      </c>
      <c r="H229" s="353"/>
      <c r="I229" s="354"/>
      <c r="J229" s="367">
        <f>G229</f>
        <v>623.70666666666671</v>
      </c>
      <c r="K229" s="367"/>
      <c r="L229" s="369"/>
    </row>
    <row r="230" spans="2:12" ht="11.25" customHeight="1">
      <c r="B230" s="362" t="s">
        <v>254</v>
      </c>
      <c r="C230" s="363">
        <f>중기사용료!$G$118</f>
        <v>1335</v>
      </c>
      <c r="D230" s="358" t="s">
        <v>227</v>
      </c>
      <c r="E230" s="364">
        <v>37.5</v>
      </c>
      <c r="F230" s="358" t="s">
        <v>228</v>
      </c>
      <c r="G230" s="364">
        <f>C230/E230</f>
        <v>35.6</v>
      </c>
      <c r="H230" s="353"/>
      <c r="I230" s="354"/>
      <c r="J230" s="367"/>
      <c r="K230" s="367">
        <f>G230</f>
        <v>35.6</v>
      </c>
      <c r="L230" s="369"/>
    </row>
    <row r="231" spans="2:12" ht="11.25" customHeight="1">
      <c r="B231" s="362" t="s">
        <v>255</v>
      </c>
      <c r="C231" s="363">
        <f>중기사용료!$G$113</f>
        <v>553</v>
      </c>
      <c r="D231" s="358" t="s">
        <v>227</v>
      </c>
      <c r="E231" s="364">
        <v>37.5</v>
      </c>
      <c r="F231" s="358" t="s">
        <v>228</v>
      </c>
      <c r="G231" s="364">
        <f>C231/E231</f>
        <v>14.746666666666666</v>
      </c>
      <c r="H231" s="353"/>
      <c r="I231" s="354"/>
      <c r="J231" s="367"/>
      <c r="K231" s="367"/>
      <c r="L231" s="369">
        <f>G231</f>
        <v>14.746666666666666</v>
      </c>
    </row>
    <row r="232" spans="2:12" ht="11.25" customHeight="1">
      <c r="B232" s="362" t="s">
        <v>256</v>
      </c>
      <c r="C232" s="352"/>
      <c r="D232" s="352"/>
      <c r="E232" s="352"/>
      <c r="F232" s="352"/>
      <c r="G232" s="364">
        <f>SUM(G229:G231)</f>
        <v>674.0533333333334</v>
      </c>
      <c r="H232" s="353"/>
      <c r="I232" s="367">
        <f>SUM(J232:L232)</f>
        <v>674.0533333333334</v>
      </c>
      <c r="J232" s="367">
        <f>SUM(J229:J231)</f>
        <v>623.70666666666671</v>
      </c>
      <c r="K232" s="367">
        <f>SUM(K229:K231)</f>
        <v>35.6</v>
      </c>
      <c r="L232" s="367">
        <f>SUM(L229:L231)</f>
        <v>14.746666666666666</v>
      </c>
    </row>
    <row r="233" spans="2:12" ht="11.25" customHeight="1">
      <c r="B233" s="351"/>
      <c r="C233" s="352"/>
      <c r="D233" s="352"/>
      <c r="E233" s="352"/>
      <c r="F233" s="352"/>
      <c r="G233" s="352"/>
      <c r="H233" s="353"/>
      <c r="I233" s="354"/>
      <c r="J233" s="354"/>
      <c r="K233" s="354"/>
      <c r="L233" s="355"/>
    </row>
    <row r="234" spans="2:12" ht="11.25" customHeight="1">
      <c r="B234" s="368" t="s">
        <v>260</v>
      </c>
      <c r="C234" s="352"/>
      <c r="D234" s="352"/>
      <c r="E234" s="352"/>
      <c r="F234" s="352"/>
      <c r="G234" s="352"/>
      <c r="H234" s="353"/>
      <c r="I234" s="354"/>
      <c r="J234" s="354"/>
      <c r="K234" s="354"/>
      <c r="L234" s="355"/>
    </row>
    <row r="235" spans="2:12" ht="11.25" customHeight="1">
      <c r="B235" s="362" t="s">
        <v>253</v>
      </c>
      <c r="C235" s="363">
        <f>중기사용료!$G$148</f>
        <v>23389</v>
      </c>
      <c r="D235" s="358" t="s">
        <v>227</v>
      </c>
      <c r="E235" s="364">
        <v>37.5</v>
      </c>
      <c r="F235" s="358" t="s">
        <v>228</v>
      </c>
      <c r="G235" s="364">
        <f>C235/E235</f>
        <v>623.70666666666671</v>
      </c>
      <c r="H235" s="353"/>
      <c r="I235" s="354"/>
      <c r="J235" s="367">
        <f>G235</f>
        <v>623.70666666666671</v>
      </c>
      <c r="K235" s="367"/>
      <c r="L235" s="369"/>
    </row>
    <row r="236" spans="2:12" ht="11.25" customHeight="1">
      <c r="B236" s="362" t="s">
        <v>254</v>
      </c>
      <c r="C236" s="363">
        <f>중기사용료!$G$142</f>
        <v>2318</v>
      </c>
      <c r="D236" s="358" t="s">
        <v>227</v>
      </c>
      <c r="E236" s="364">
        <v>37.5</v>
      </c>
      <c r="F236" s="358" t="s">
        <v>228</v>
      </c>
      <c r="G236" s="364">
        <f>C236/E236</f>
        <v>61.813333333333333</v>
      </c>
      <c r="H236" s="353"/>
      <c r="I236" s="354"/>
      <c r="J236" s="367"/>
      <c r="K236" s="367">
        <f>G236</f>
        <v>61.813333333333333</v>
      </c>
      <c r="L236" s="369"/>
    </row>
    <row r="237" spans="2:12" ht="11.25" customHeight="1">
      <c r="B237" s="362" t="s">
        <v>255</v>
      </c>
      <c r="C237" s="363">
        <f>중기사용료!$G$137</f>
        <v>1563</v>
      </c>
      <c r="D237" s="358" t="s">
        <v>227</v>
      </c>
      <c r="E237" s="364">
        <v>37.5</v>
      </c>
      <c r="F237" s="358" t="s">
        <v>228</v>
      </c>
      <c r="G237" s="364">
        <f>C237/E237</f>
        <v>41.68</v>
      </c>
      <c r="H237" s="353"/>
      <c r="I237" s="354"/>
      <c r="J237" s="367"/>
      <c r="K237" s="367"/>
      <c r="L237" s="369">
        <f>G237</f>
        <v>41.68</v>
      </c>
    </row>
    <row r="238" spans="2:12" ht="11.25" customHeight="1">
      <c r="B238" s="362" t="s">
        <v>256</v>
      </c>
      <c r="C238" s="352"/>
      <c r="D238" s="352"/>
      <c r="E238" s="352"/>
      <c r="F238" s="352"/>
      <c r="G238" s="364">
        <f>SUM(G235:G237)</f>
        <v>727.19999999999993</v>
      </c>
      <c r="H238" s="353"/>
      <c r="I238" s="367">
        <f>SUM(J238:L238)</f>
        <v>727.19999999999993</v>
      </c>
      <c r="J238" s="367">
        <f>SUM(J235:J237)</f>
        <v>623.70666666666671</v>
      </c>
      <c r="K238" s="367">
        <f>SUM(K235:K237)</f>
        <v>61.813333333333333</v>
      </c>
      <c r="L238" s="367">
        <f>SUM(L235:L237)</f>
        <v>41.68</v>
      </c>
    </row>
    <row r="239" spans="2:12" ht="11.25" customHeight="1">
      <c r="B239" s="351"/>
      <c r="C239" s="352"/>
      <c r="D239" s="352"/>
      <c r="E239" s="352"/>
      <c r="F239" s="352"/>
      <c r="G239" s="352"/>
      <c r="H239" s="353"/>
      <c r="I239" s="354"/>
      <c r="J239" s="354"/>
      <c r="K239" s="354"/>
      <c r="L239" s="355"/>
    </row>
    <row r="240" spans="2:12" ht="11.25" customHeight="1">
      <c r="B240" s="368" t="s">
        <v>261</v>
      </c>
      <c r="C240" s="364"/>
      <c r="D240" s="364"/>
      <c r="E240" s="364"/>
      <c r="F240" s="352"/>
      <c r="G240" s="352"/>
      <c r="H240" s="353"/>
      <c r="I240" s="354"/>
      <c r="J240" s="354"/>
      <c r="K240" s="354"/>
      <c r="L240" s="355"/>
    </row>
    <row r="241" spans="2:12" ht="11.25" customHeight="1">
      <c r="B241" s="362" t="s">
        <v>253</v>
      </c>
      <c r="C241" s="366">
        <f>G229</f>
        <v>623.70666666666671</v>
      </c>
      <c r="D241" s="370" t="s">
        <v>262</v>
      </c>
      <c r="E241" s="364">
        <f>G235</f>
        <v>623.70666666666671</v>
      </c>
      <c r="F241" s="358" t="s">
        <v>228</v>
      </c>
      <c r="G241" s="364">
        <f>C241+E241</f>
        <v>1247.4133333333334</v>
      </c>
      <c r="H241" s="353"/>
      <c r="I241" s="354"/>
      <c r="J241" s="367">
        <f>G241</f>
        <v>1247.4133333333334</v>
      </c>
      <c r="K241" s="367"/>
      <c r="L241" s="369"/>
    </row>
    <row r="242" spans="2:12" ht="11.25" customHeight="1">
      <c r="B242" s="362" t="s">
        <v>254</v>
      </c>
      <c r="C242" s="366">
        <f>G230</f>
        <v>35.6</v>
      </c>
      <c r="D242" s="370" t="s">
        <v>262</v>
      </c>
      <c r="E242" s="364">
        <f>G236</f>
        <v>61.813333333333333</v>
      </c>
      <c r="F242" s="358" t="s">
        <v>228</v>
      </c>
      <c r="G242" s="364">
        <f>C242+E242</f>
        <v>97.413333333333327</v>
      </c>
      <c r="H242" s="353"/>
      <c r="I242" s="354"/>
      <c r="J242" s="367"/>
      <c r="K242" s="367">
        <f>G242</f>
        <v>97.413333333333327</v>
      </c>
      <c r="L242" s="369"/>
    </row>
    <row r="243" spans="2:12" ht="11.25" customHeight="1">
      <c r="B243" s="362" t="s">
        <v>255</v>
      </c>
      <c r="C243" s="366">
        <f>G231</f>
        <v>14.746666666666666</v>
      </c>
      <c r="D243" s="370" t="s">
        <v>262</v>
      </c>
      <c r="E243" s="364">
        <f>G237</f>
        <v>41.68</v>
      </c>
      <c r="F243" s="358" t="s">
        <v>228</v>
      </c>
      <c r="G243" s="364">
        <f>C243+E243</f>
        <v>56.426666666666662</v>
      </c>
      <c r="H243" s="353"/>
      <c r="I243" s="354"/>
      <c r="J243" s="367"/>
      <c r="K243" s="367"/>
      <c r="L243" s="369">
        <f>G243</f>
        <v>56.426666666666662</v>
      </c>
    </row>
    <row r="244" spans="2:12" ht="11.25" customHeight="1">
      <c r="B244" s="362" t="s">
        <v>256</v>
      </c>
      <c r="C244" s="364"/>
      <c r="D244" s="370"/>
      <c r="E244" s="364"/>
      <c r="F244" s="352"/>
      <c r="G244" s="364">
        <f>SUM(G241:G243)</f>
        <v>1401.2533333333336</v>
      </c>
      <c r="H244" s="353"/>
      <c r="I244" s="367">
        <f>SUM(J244:L244)</f>
        <v>1401.2533333333336</v>
      </c>
      <c r="J244" s="367">
        <f>SUM(J241:J243)</f>
        <v>1247.4133333333334</v>
      </c>
      <c r="K244" s="367">
        <f>SUM(K241:K243)</f>
        <v>97.413333333333327</v>
      </c>
      <c r="L244" s="367">
        <f>SUM(L241:L243)</f>
        <v>56.426666666666662</v>
      </c>
    </row>
    <row r="245" spans="2:12" ht="11.25" customHeight="1">
      <c r="B245" s="351"/>
      <c r="C245" s="352"/>
      <c r="D245" s="352"/>
      <c r="E245" s="352"/>
      <c r="F245" s="352"/>
      <c r="G245" s="352"/>
      <c r="H245" s="353"/>
      <c r="I245" s="354"/>
      <c r="J245" s="354"/>
      <c r="K245" s="354"/>
      <c r="L245" s="355"/>
    </row>
    <row r="246" spans="2:12" ht="11.25" customHeight="1">
      <c r="B246" s="371" t="s">
        <v>263</v>
      </c>
      <c r="C246" s="347"/>
      <c r="D246" s="347"/>
      <c r="E246" s="347"/>
      <c r="F246" s="347"/>
      <c r="G246" s="347"/>
      <c r="H246" s="348"/>
      <c r="I246" s="349">
        <f>(SUM(J246:L246))</f>
        <v>4361</v>
      </c>
      <c r="J246" s="349">
        <f>INT(J212+J218+J224+J244)</f>
        <v>3393</v>
      </c>
      <c r="K246" s="349">
        <f>INT(K212+K218+K224+K244)</f>
        <v>523</v>
      </c>
      <c r="L246" s="349">
        <f>INT(L212+L218+L224+L244)</f>
        <v>445</v>
      </c>
    </row>
    <row r="247" spans="2:12" ht="11.25" customHeight="1">
      <c r="B247" s="362"/>
      <c r="C247" s="366"/>
      <c r="D247" s="370"/>
      <c r="E247" s="364"/>
      <c r="F247" s="358"/>
      <c r="G247" s="364"/>
      <c r="H247" s="353"/>
      <c r="I247" s="354"/>
      <c r="J247" s="367"/>
      <c r="K247" s="367"/>
      <c r="L247" s="369"/>
    </row>
    <row r="248" spans="2:12" ht="11.25" customHeight="1">
      <c r="B248" s="362"/>
      <c r="C248" s="366"/>
      <c r="D248" s="370"/>
      <c r="E248" s="364"/>
      <c r="F248" s="358"/>
      <c r="G248" s="364"/>
      <c r="H248" s="353"/>
      <c r="I248" s="354"/>
      <c r="J248" s="367"/>
      <c r="K248" s="367"/>
      <c r="L248" s="369"/>
    </row>
    <row r="249" spans="2:12" ht="11.25" customHeight="1">
      <c r="B249" s="362"/>
      <c r="C249" s="366"/>
      <c r="D249" s="370"/>
      <c r="E249" s="364"/>
      <c r="F249" s="358"/>
      <c r="G249" s="364"/>
      <c r="H249" s="353"/>
      <c r="I249" s="354"/>
      <c r="J249" s="367"/>
      <c r="K249" s="367"/>
      <c r="L249" s="369"/>
    </row>
    <row r="250" spans="2:12" ht="11.25" customHeight="1">
      <c r="B250" s="362"/>
      <c r="C250" s="364"/>
      <c r="D250" s="370"/>
      <c r="E250" s="364"/>
      <c r="F250" s="352"/>
      <c r="G250" s="364"/>
      <c r="H250" s="353"/>
      <c r="I250" s="367"/>
      <c r="J250" s="367"/>
      <c r="K250" s="367"/>
      <c r="L250" s="367"/>
    </row>
    <row r="251" spans="2:12" ht="11.25" customHeight="1">
      <c r="B251" s="351"/>
      <c r="C251" s="352"/>
      <c r="D251" s="352"/>
      <c r="E251" s="352"/>
      <c r="F251" s="352"/>
      <c r="G251" s="352"/>
      <c r="H251" s="353"/>
      <c r="I251" s="354"/>
      <c r="J251" s="354"/>
      <c r="K251" s="354"/>
      <c r="L251" s="355"/>
    </row>
    <row r="252" spans="2:12" ht="11.25" customHeight="1">
      <c r="B252" s="351"/>
      <c r="C252" s="352"/>
      <c r="D252" s="352"/>
      <c r="E252" s="352"/>
      <c r="F252" s="352"/>
      <c r="G252" s="352"/>
      <c r="H252" s="353"/>
      <c r="I252" s="354"/>
      <c r="J252" s="354"/>
      <c r="K252" s="354"/>
      <c r="L252" s="355"/>
    </row>
    <row r="253" spans="2:12" ht="11.25" customHeight="1">
      <c r="B253" s="351"/>
      <c r="C253" s="352"/>
      <c r="D253" s="352"/>
      <c r="E253" s="352"/>
      <c r="F253" s="352"/>
      <c r="G253" s="352"/>
      <c r="H253" s="353"/>
      <c r="I253" s="354"/>
      <c r="J253" s="354"/>
      <c r="K253" s="354"/>
      <c r="L253" s="355"/>
    </row>
    <row r="254" spans="2:12" ht="11.25" customHeight="1">
      <c r="B254" s="351"/>
      <c r="C254" s="352"/>
      <c r="D254" s="352"/>
      <c r="E254" s="352"/>
      <c r="F254" s="352"/>
      <c r="G254" s="352"/>
      <c r="H254" s="353"/>
      <c r="I254" s="354"/>
      <c r="J254" s="354"/>
      <c r="K254" s="354"/>
      <c r="L254" s="355"/>
    </row>
    <row r="255" spans="2:12" ht="11.25" customHeight="1">
      <c r="B255" s="351"/>
      <c r="C255" s="352"/>
      <c r="D255" s="352"/>
      <c r="E255" s="352"/>
      <c r="F255" s="352"/>
      <c r="G255" s="352"/>
      <c r="H255" s="353"/>
      <c r="I255" s="354"/>
      <c r="J255" s="354"/>
      <c r="K255" s="354"/>
      <c r="L255" s="355"/>
    </row>
    <row r="256" spans="2:12" ht="11.25" customHeight="1">
      <c r="B256" s="351"/>
      <c r="C256" s="352"/>
      <c r="D256" s="352"/>
      <c r="E256" s="352"/>
      <c r="F256" s="352"/>
      <c r="G256" s="352"/>
      <c r="H256" s="353"/>
      <c r="I256" s="354"/>
      <c r="J256" s="354"/>
      <c r="K256" s="354"/>
      <c r="L256" s="355"/>
    </row>
    <row r="257" spans="2:12" ht="11.25" customHeight="1">
      <c r="B257" s="351"/>
      <c r="C257" s="352"/>
      <c r="D257" s="352"/>
      <c r="E257" s="352"/>
      <c r="F257" s="352"/>
      <c r="G257" s="352"/>
      <c r="H257" s="353"/>
      <c r="I257" s="354"/>
      <c r="J257" s="354"/>
      <c r="K257" s="354"/>
      <c r="L257" s="355"/>
    </row>
    <row r="258" spans="2:12" ht="11.25" customHeight="1">
      <c r="B258" s="351"/>
      <c r="C258" s="352"/>
      <c r="D258" s="352"/>
      <c r="E258" s="352"/>
      <c r="F258" s="352"/>
      <c r="G258" s="352"/>
      <c r="H258" s="353"/>
      <c r="I258" s="354"/>
      <c r="J258" s="354"/>
      <c r="K258" s="354"/>
      <c r="L258" s="355"/>
    </row>
    <row r="259" spans="2:12" ht="11.25" customHeight="1">
      <c r="B259" s="351"/>
      <c r="C259" s="352"/>
      <c r="D259" s="352"/>
      <c r="E259" s="352"/>
      <c r="F259" s="352"/>
      <c r="G259" s="352"/>
      <c r="H259" s="353"/>
      <c r="I259" s="354"/>
      <c r="J259" s="354"/>
      <c r="K259" s="354"/>
      <c r="L259" s="355"/>
    </row>
    <row r="260" spans="2:12" ht="11.25" customHeight="1">
      <c r="B260" s="351"/>
      <c r="C260" s="352"/>
      <c r="D260" s="352"/>
      <c r="E260" s="352"/>
      <c r="F260" s="352"/>
      <c r="G260" s="352"/>
      <c r="H260" s="353"/>
      <c r="I260" s="354"/>
      <c r="J260" s="354"/>
      <c r="K260" s="354"/>
      <c r="L260" s="355"/>
    </row>
    <row r="261" spans="2:12" ht="11.25" customHeight="1">
      <c r="B261" s="351"/>
      <c r="C261" s="352"/>
      <c r="D261" s="352"/>
      <c r="E261" s="352"/>
      <c r="F261" s="352"/>
      <c r="G261" s="352"/>
      <c r="H261" s="353"/>
      <c r="I261" s="354"/>
      <c r="J261" s="354"/>
      <c r="K261" s="354"/>
      <c r="L261" s="355"/>
    </row>
    <row r="262" spans="2:12" ht="11.25" customHeight="1">
      <c r="B262" s="351"/>
      <c r="C262" s="352"/>
      <c r="D262" s="352"/>
      <c r="E262" s="352"/>
      <c r="F262" s="352"/>
      <c r="G262" s="352"/>
      <c r="H262" s="353"/>
      <c r="I262" s="354"/>
      <c r="J262" s="354"/>
      <c r="K262" s="354"/>
      <c r="L262" s="355"/>
    </row>
    <row r="263" spans="2:12" ht="11.25" customHeight="1">
      <c r="B263" s="351"/>
      <c r="C263" s="352"/>
      <c r="D263" s="352"/>
      <c r="E263" s="352"/>
      <c r="F263" s="352"/>
      <c r="G263" s="352"/>
      <c r="H263" s="353"/>
      <c r="I263" s="354"/>
      <c r="J263" s="354"/>
      <c r="K263" s="354"/>
      <c r="L263" s="355"/>
    </row>
    <row r="264" spans="2:12" ht="11.25" customHeight="1">
      <c r="B264" s="351"/>
      <c r="C264" s="352"/>
      <c r="D264" s="352"/>
      <c r="E264" s="352"/>
      <c r="F264" s="352"/>
      <c r="G264" s="352"/>
      <c r="H264" s="353"/>
      <c r="I264" s="354"/>
      <c r="J264" s="354"/>
      <c r="K264" s="354"/>
      <c r="L264" s="355"/>
    </row>
    <row r="265" spans="2:12" ht="11.25" customHeight="1">
      <c r="B265" s="351"/>
      <c r="C265" s="352"/>
      <c r="D265" s="352"/>
      <c r="E265" s="352"/>
      <c r="F265" s="352"/>
      <c r="G265" s="352"/>
      <c r="H265" s="353"/>
      <c r="I265" s="354"/>
      <c r="J265" s="354"/>
      <c r="K265" s="354"/>
      <c r="L265" s="355"/>
    </row>
    <row r="266" spans="2:12" ht="11.25" customHeight="1">
      <c r="B266" s="351"/>
      <c r="C266" s="352"/>
      <c r="D266" s="352"/>
      <c r="E266" s="352"/>
      <c r="F266" s="352"/>
      <c r="G266" s="352"/>
      <c r="H266" s="353"/>
      <c r="I266" s="354"/>
      <c r="J266" s="354"/>
      <c r="K266" s="354"/>
      <c r="L266" s="355"/>
    </row>
    <row r="267" spans="2:12" ht="11.25" customHeight="1">
      <c r="B267" s="351"/>
      <c r="C267" s="352"/>
      <c r="D267" s="352"/>
      <c r="E267" s="352"/>
      <c r="F267" s="352"/>
      <c r="G267" s="352"/>
      <c r="H267" s="353"/>
      <c r="I267" s="354"/>
      <c r="J267" s="354"/>
      <c r="K267" s="354"/>
      <c r="L267" s="355"/>
    </row>
    <row r="268" spans="2:12" ht="11.25" customHeight="1">
      <c r="B268" s="371" t="s">
        <v>272</v>
      </c>
      <c r="C268" s="352"/>
      <c r="D268" s="352"/>
      <c r="E268" s="352"/>
      <c r="F268" s="352"/>
      <c r="G268" s="352"/>
      <c r="H268" s="353"/>
      <c r="I268" s="354"/>
      <c r="J268" s="354"/>
      <c r="K268" s="354"/>
      <c r="L268" s="355"/>
    </row>
    <row r="269" spans="2:12" ht="11.25" customHeight="1">
      <c r="B269" s="351"/>
      <c r="C269" s="352"/>
      <c r="D269" s="352"/>
      <c r="E269" s="352"/>
      <c r="F269" s="352"/>
      <c r="G269" s="352"/>
      <c r="H269" s="353"/>
      <c r="I269" s="354"/>
      <c r="J269" s="354"/>
      <c r="K269" s="354"/>
      <c r="L269" s="355"/>
    </row>
    <row r="270" spans="2:12" ht="11.25" customHeight="1">
      <c r="B270" s="351" t="s">
        <v>235</v>
      </c>
      <c r="C270" s="352"/>
      <c r="D270" s="352"/>
      <c r="E270" s="352"/>
      <c r="F270" s="352"/>
      <c r="G270" s="352"/>
      <c r="H270" s="353"/>
      <c r="I270" s="354"/>
      <c r="J270" s="354"/>
      <c r="K270" s="354"/>
      <c r="L270" s="355"/>
    </row>
    <row r="271" spans="2:12" ht="11.25" customHeight="1">
      <c r="B271" s="351"/>
      <c r="C271" s="352"/>
      <c r="D271" s="352"/>
      <c r="E271" s="352"/>
      <c r="F271" s="352"/>
      <c r="G271" s="352"/>
      <c r="H271" s="353"/>
      <c r="I271" s="354"/>
      <c r="J271" s="354"/>
      <c r="K271" s="354"/>
      <c r="L271" s="355"/>
    </row>
    <row r="272" spans="2:12" ht="11.25" customHeight="1">
      <c r="B272" s="351" t="s">
        <v>236</v>
      </c>
      <c r="C272" s="352"/>
      <c r="D272" s="352"/>
      <c r="E272" s="352"/>
      <c r="F272" s="352"/>
      <c r="G272" s="352"/>
      <c r="H272" s="353"/>
      <c r="I272" s="354"/>
      <c r="J272" s="354"/>
      <c r="K272" s="354"/>
      <c r="L272" s="355"/>
    </row>
    <row r="273" spans="2:12" ht="11.25" customHeight="1">
      <c r="B273" s="351"/>
      <c r="C273" s="352"/>
      <c r="D273" s="352"/>
      <c r="E273" s="352"/>
      <c r="F273" s="352"/>
      <c r="G273" s="352"/>
      <c r="H273" s="353"/>
      <c r="I273" s="354"/>
      <c r="J273" s="354"/>
      <c r="K273" s="354"/>
      <c r="L273" s="355"/>
    </row>
    <row r="274" spans="2:12" ht="11.25" customHeight="1">
      <c r="B274" s="351" t="s">
        <v>237</v>
      </c>
      <c r="C274" s="352"/>
      <c r="D274" s="352"/>
      <c r="E274" s="352"/>
      <c r="F274" s="352"/>
      <c r="G274" s="352"/>
      <c r="H274" s="353"/>
      <c r="I274" s="354"/>
      <c r="J274" s="354"/>
      <c r="K274" s="354"/>
      <c r="L274" s="355"/>
    </row>
    <row r="275" spans="2:12" ht="11.25" customHeight="1">
      <c r="B275" s="362" t="s">
        <v>238</v>
      </c>
      <c r="C275" s="363">
        <v>113536</v>
      </c>
      <c r="D275" s="352" t="s">
        <v>239</v>
      </c>
      <c r="E275" s="352"/>
      <c r="F275" s="358" t="s">
        <v>228</v>
      </c>
      <c r="G275" s="364">
        <f>ROUNDDOWN(C275/300,1)</f>
        <v>378.4</v>
      </c>
      <c r="H275" s="353"/>
      <c r="I275" s="354"/>
      <c r="J275" s="354"/>
      <c r="K275" s="354"/>
      <c r="L275" s="355"/>
    </row>
    <row r="276" spans="2:12" ht="11.25" customHeight="1">
      <c r="B276" s="365" t="s">
        <v>240</v>
      </c>
      <c r="C276" s="363">
        <v>83975</v>
      </c>
      <c r="D276" s="352" t="s">
        <v>239</v>
      </c>
      <c r="E276" s="352"/>
      <c r="F276" s="358" t="s">
        <v>228</v>
      </c>
      <c r="G276" s="364">
        <f>ROUNDDOWN(C276/300,1)</f>
        <v>279.89999999999998</v>
      </c>
      <c r="H276" s="353"/>
      <c r="I276" s="354"/>
      <c r="J276" s="354"/>
      <c r="K276" s="354"/>
      <c r="L276" s="355"/>
    </row>
    <row r="277" spans="2:12" ht="11.25" customHeight="1">
      <c r="B277" s="365" t="s">
        <v>241</v>
      </c>
      <c r="C277" s="363">
        <v>83975</v>
      </c>
      <c r="D277" s="352" t="s">
        <v>239</v>
      </c>
      <c r="E277" s="352"/>
      <c r="F277" s="358" t="s">
        <v>228</v>
      </c>
      <c r="G277" s="364">
        <f>ROUNDDOWN(C277/300,1)</f>
        <v>279.89999999999998</v>
      </c>
      <c r="H277" s="353"/>
      <c r="I277" s="354"/>
      <c r="J277" s="354"/>
      <c r="K277" s="354"/>
      <c r="L277" s="355"/>
    </row>
    <row r="278" spans="2:12" ht="11.25" customHeight="1">
      <c r="B278" s="365" t="s">
        <v>242</v>
      </c>
      <c r="C278" s="366">
        <f>SUM(G275:G277)</f>
        <v>938.19999999999993</v>
      </c>
      <c r="D278" s="352"/>
      <c r="E278" s="352"/>
      <c r="F278" s="352"/>
      <c r="G278" s="352"/>
      <c r="H278" s="353"/>
      <c r="I278" s="367">
        <f>SUM(J278:L278)</f>
        <v>938.19999999999993</v>
      </c>
      <c r="J278" s="367">
        <f>C278</f>
        <v>938.19999999999993</v>
      </c>
      <c r="K278" s="354"/>
      <c r="L278" s="355"/>
    </row>
    <row r="279" spans="2:12" ht="11.25" customHeight="1">
      <c r="B279" s="351"/>
      <c r="C279" s="352"/>
      <c r="D279" s="352"/>
      <c r="E279" s="352"/>
      <c r="F279" s="352"/>
      <c r="G279" s="352"/>
      <c r="H279" s="353"/>
      <c r="I279" s="354"/>
      <c r="J279" s="354"/>
      <c r="K279" s="354"/>
      <c r="L279" s="355"/>
    </row>
    <row r="280" spans="2:12" ht="11.25" customHeight="1">
      <c r="B280" s="368" t="s">
        <v>243</v>
      </c>
      <c r="C280" s="352"/>
      <c r="D280" s="352"/>
      <c r="E280" s="352"/>
      <c r="F280" s="352"/>
      <c r="G280" s="352"/>
      <c r="H280" s="353"/>
      <c r="I280" s="354"/>
      <c r="J280" s="354"/>
      <c r="K280" s="354"/>
      <c r="L280" s="355"/>
    </row>
    <row r="281" spans="2:12" ht="11.25" customHeight="1">
      <c r="B281" s="362" t="s">
        <v>253</v>
      </c>
      <c r="C281" s="363">
        <f>중기사용료!$G$176</f>
        <v>23389</v>
      </c>
      <c r="D281" s="358" t="s">
        <v>227</v>
      </c>
      <c r="E281" s="364">
        <v>37.5</v>
      </c>
      <c r="F281" s="358" t="s">
        <v>228</v>
      </c>
      <c r="G281" s="364">
        <f>C281/E281</f>
        <v>623.70666666666671</v>
      </c>
      <c r="H281" s="353"/>
      <c r="I281" s="354"/>
      <c r="J281" s="367">
        <f>G281</f>
        <v>623.70666666666671</v>
      </c>
      <c r="K281" s="367"/>
      <c r="L281" s="369"/>
    </row>
    <row r="282" spans="2:12" ht="11.25" customHeight="1">
      <c r="B282" s="362" t="s">
        <v>254</v>
      </c>
      <c r="C282" s="363">
        <f>중기사용료!$G$170</f>
        <v>4701</v>
      </c>
      <c r="D282" s="358" t="s">
        <v>227</v>
      </c>
      <c r="E282" s="364">
        <v>37.5</v>
      </c>
      <c r="F282" s="358" t="s">
        <v>228</v>
      </c>
      <c r="G282" s="364">
        <f>C282/E282</f>
        <v>125.36</v>
      </c>
      <c r="H282" s="353"/>
      <c r="I282" s="354"/>
      <c r="J282" s="367"/>
      <c r="K282" s="367">
        <f>G282</f>
        <v>125.36</v>
      </c>
      <c r="L282" s="369"/>
    </row>
    <row r="283" spans="2:12" ht="11.25" customHeight="1">
      <c r="B283" s="362" t="s">
        <v>255</v>
      </c>
      <c r="C283" s="363">
        <f>중기사용료!$G$165</f>
        <v>6785</v>
      </c>
      <c r="D283" s="358" t="s">
        <v>227</v>
      </c>
      <c r="E283" s="364">
        <v>37.5</v>
      </c>
      <c r="F283" s="358" t="s">
        <v>228</v>
      </c>
      <c r="G283" s="364">
        <f>C283/E283</f>
        <v>180.93333333333334</v>
      </c>
      <c r="H283" s="353"/>
      <c r="I283" s="354"/>
      <c r="J283" s="367"/>
      <c r="K283" s="367"/>
      <c r="L283" s="369">
        <f>G283</f>
        <v>180.93333333333334</v>
      </c>
    </row>
    <row r="284" spans="2:12" ht="11.25" customHeight="1">
      <c r="B284" s="362" t="s">
        <v>256</v>
      </c>
      <c r="C284" s="352"/>
      <c r="D284" s="352"/>
      <c r="E284" s="352"/>
      <c r="F284" s="352"/>
      <c r="G284" s="364">
        <f>SUM(G281:G283)</f>
        <v>930</v>
      </c>
      <c r="H284" s="353"/>
      <c r="I284" s="367">
        <f>SUM(J284:L284)</f>
        <v>930</v>
      </c>
      <c r="J284" s="367">
        <f>SUM(J281:J283)</f>
        <v>623.70666666666671</v>
      </c>
      <c r="K284" s="367">
        <f>SUM(K281:K283)</f>
        <v>125.36</v>
      </c>
      <c r="L284" s="367">
        <f>SUM(L281:L283)</f>
        <v>180.93333333333334</v>
      </c>
    </row>
    <row r="285" spans="2:12" ht="11.25" customHeight="1">
      <c r="B285" s="362"/>
      <c r="C285" s="352"/>
      <c r="D285" s="352"/>
      <c r="E285" s="352"/>
      <c r="F285" s="352"/>
      <c r="G285" s="352"/>
      <c r="H285" s="353"/>
      <c r="I285" s="354"/>
      <c r="J285" s="354"/>
      <c r="K285" s="354"/>
      <c r="L285" s="355"/>
    </row>
    <row r="286" spans="2:12" ht="11.25" customHeight="1">
      <c r="B286" s="368" t="s">
        <v>257</v>
      </c>
      <c r="C286" s="352"/>
      <c r="D286" s="352"/>
      <c r="E286" s="352"/>
      <c r="F286" s="352"/>
      <c r="G286" s="352"/>
      <c r="H286" s="353"/>
      <c r="I286" s="354"/>
      <c r="J286" s="354"/>
      <c r="K286" s="354"/>
      <c r="L286" s="355"/>
    </row>
    <row r="287" spans="2:12" ht="11.25" customHeight="1">
      <c r="B287" s="362" t="s">
        <v>253</v>
      </c>
      <c r="C287" s="363">
        <f>중기사용료!$G$200</f>
        <v>21911</v>
      </c>
      <c r="D287" s="358" t="s">
        <v>227</v>
      </c>
      <c r="E287" s="364">
        <v>37.5</v>
      </c>
      <c r="F287" s="358" t="s">
        <v>228</v>
      </c>
      <c r="G287" s="364">
        <f>C287/E287</f>
        <v>584.29333333333329</v>
      </c>
      <c r="H287" s="353"/>
      <c r="I287" s="354"/>
      <c r="J287" s="367">
        <f>G287</f>
        <v>584.29333333333329</v>
      </c>
      <c r="K287" s="367"/>
      <c r="L287" s="369"/>
    </row>
    <row r="288" spans="2:12" ht="11.25" customHeight="1">
      <c r="B288" s="362" t="s">
        <v>254</v>
      </c>
      <c r="C288" s="363">
        <f>중기사용료!$G$194</f>
        <v>11278</v>
      </c>
      <c r="D288" s="358" t="s">
        <v>227</v>
      </c>
      <c r="E288" s="364">
        <v>37.5</v>
      </c>
      <c r="F288" s="358" t="s">
        <v>228</v>
      </c>
      <c r="G288" s="364">
        <f>C288/E288</f>
        <v>300.74666666666667</v>
      </c>
      <c r="H288" s="353"/>
      <c r="I288" s="354"/>
      <c r="J288" s="367"/>
      <c r="K288" s="367">
        <f>G288</f>
        <v>300.74666666666667</v>
      </c>
      <c r="L288" s="369"/>
    </row>
    <row r="289" spans="2:12" ht="11.25" customHeight="1">
      <c r="B289" s="362" t="s">
        <v>255</v>
      </c>
      <c r="C289" s="363">
        <f>중기사용료!$G$189</f>
        <v>7823</v>
      </c>
      <c r="D289" s="358" t="s">
        <v>227</v>
      </c>
      <c r="E289" s="364">
        <v>37.5</v>
      </c>
      <c r="F289" s="358" t="s">
        <v>228</v>
      </c>
      <c r="G289" s="364">
        <f>C289/E289</f>
        <v>208.61333333333334</v>
      </c>
      <c r="H289" s="353"/>
      <c r="I289" s="354"/>
      <c r="J289" s="367"/>
      <c r="K289" s="367"/>
      <c r="L289" s="369">
        <f>G289</f>
        <v>208.61333333333334</v>
      </c>
    </row>
    <row r="290" spans="2:12" ht="11.25" customHeight="1">
      <c r="B290" s="362" t="s">
        <v>256</v>
      </c>
      <c r="C290" s="352"/>
      <c r="D290" s="352"/>
      <c r="E290" s="352"/>
      <c r="F290" s="352"/>
      <c r="G290" s="364">
        <f>SUM(G287:G289)</f>
        <v>1093.6533333333332</v>
      </c>
      <c r="H290" s="353"/>
      <c r="I290" s="367">
        <f>SUM(J290:L290)</f>
        <v>1093.6533333333332</v>
      </c>
      <c r="J290" s="367">
        <f>SUM(J287:J289)</f>
        <v>584.29333333333329</v>
      </c>
      <c r="K290" s="367">
        <f>SUM(K287:K289)</f>
        <v>300.74666666666667</v>
      </c>
      <c r="L290" s="367">
        <f>SUM(L287:L289)</f>
        <v>208.61333333333334</v>
      </c>
    </row>
    <row r="291" spans="2:12" ht="11.25" customHeight="1">
      <c r="B291" s="351"/>
      <c r="C291" s="352"/>
      <c r="D291" s="352"/>
      <c r="E291" s="352"/>
      <c r="F291" s="352"/>
      <c r="G291" s="352"/>
      <c r="H291" s="353"/>
      <c r="I291" s="354"/>
      <c r="J291" s="354"/>
      <c r="K291" s="354"/>
      <c r="L291" s="355"/>
    </row>
    <row r="292" spans="2:12" ht="11.25" customHeight="1">
      <c r="B292" s="368" t="s">
        <v>258</v>
      </c>
      <c r="C292" s="352"/>
      <c r="D292" s="352"/>
      <c r="E292" s="352"/>
      <c r="F292" s="352"/>
      <c r="G292" s="352"/>
      <c r="H292" s="353"/>
      <c r="I292" s="354"/>
      <c r="J292" s="354"/>
      <c r="K292" s="354"/>
      <c r="L292" s="355"/>
    </row>
    <row r="293" spans="2:12" ht="11.25" customHeight="1">
      <c r="B293" s="368"/>
      <c r="C293" s="352"/>
      <c r="D293" s="352"/>
      <c r="E293" s="352"/>
      <c r="F293" s="352"/>
      <c r="G293" s="352"/>
      <c r="H293" s="353"/>
      <c r="I293" s="354"/>
      <c r="J293" s="354"/>
      <c r="K293" s="354"/>
      <c r="L293" s="355"/>
    </row>
    <row r="294" spans="2:12" ht="11.25" customHeight="1">
      <c r="B294" s="368" t="s">
        <v>259</v>
      </c>
      <c r="C294" s="352"/>
      <c r="D294" s="352"/>
      <c r="E294" s="352"/>
      <c r="F294" s="352"/>
      <c r="G294" s="352"/>
      <c r="H294" s="353"/>
      <c r="I294" s="354"/>
      <c r="J294" s="354"/>
      <c r="K294" s="354"/>
      <c r="L294" s="355"/>
    </row>
    <row r="295" spans="2:12" ht="11.25" customHeight="1">
      <c r="B295" s="362" t="s">
        <v>253</v>
      </c>
      <c r="C295" s="363">
        <f>중기사용료!$G$124</f>
        <v>23389</v>
      </c>
      <c r="D295" s="358" t="s">
        <v>227</v>
      </c>
      <c r="E295" s="364">
        <v>37.5</v>
      </c>
      <c r="F295" s="358" t="s">
        <v>228</v>
      </c>
      <c r="G295" s="364">
        <f>C295/E295</f>
        <v>623.70666666666671</v>
      </c>
      <c r="H295" s="353"/>
      <c r="I295" s="354"/>
      <c r="J295" s="367">
        <f>G295</f>
        <v>623.70666666666671</v>
      </c>
      <c r="K295" s="367"/>
      <c r="L295" s="369"/>
    </row>
    <row r="296" spans="2:12" ht="11.25" customHeight="1">
      <c r="B296" s="362" t="s">
        <v>254</v>
      </c>
      <c r="C296" s="363">
        <f>중기사용료!$G$118</f>
        <v>1335</v>
      </c>
      <c r="D296" s="358" t="s">
        <v>227</v>
      </c>
      <c r="E296" s="364">
        <v>37.5</v>
      </c>
      <c r="F296" s="358" t="s">
        <v>228</v>
      </c>
      <c r="G296" s="364">
        <f>C296/E296</f>
        <v>35.6</v>
      </c>
      <c r="H296" s="353"/>
      <c r="I296" s="354"/>
      <c r="J296" s="367"/>
      <c r="K296" s="367">
        <f>G296</f>
        <v>35.6</v>
      </c>
      <c r="L296" s="369"/>
    </row>
    <row r="297" spans="2:12" ht="11.25" customHeight="1">
      <c r="B297" s="362" t="s">
        <v>255</v>
      </c>
      <c r="C297" s="363">
        <f>중기사용료!$G$113</f>
        <v>553</v>
      </c>
      <c r="D297" s="358" t="s">
        <v>227</v>
      </c>
      <c r="E297" s="364">
        <v>37.5</v>
      </c>
      <c r="F297" s="358" t="s">
        <v>228</v>
      </c>
      <c r="G297" s="364">
        <f>C297/E297</f>
        <v>14.746666666666666</v>
      </c>
      <c r="H297" s="353"/>
      <c r="I297" s="354"/>
      <c r="J297" s="367"/>
      <c r="K297" s="367"/>
      <c r="L297" s="369">
        <f>G297</f>
        <v>14.746666666666666</v>
      </c>
    </row>
    <row r="298" spans="2:12" ht="11.25" customHeight="1">
      <c r="B298" s="362" t="s">
        <v>256</v>
      </c>
      <c r="C298" s="352"/>
      <c r="D298" s="352"/>
      <c r="E298" s="352"/>
      <c r="F298" s="352"/>
      <c r="G298" s="364">
        <f>SUM(G295:G297)</f>
        <v>674.0533333333334</v>
      </c>
      <c r="H298" s="353"/>
      <c r="I298" s="367">
        <f>SUM(J298:L298)</f>
        <v>674.0533333333334</v>
      </c>
      <c r="J298" s="367">
        <f>SUM(J295:J297)</f>
        <v>623.70666666666671</v>
      </c>
      <c r="K298" s="367">
        <f>SUM(K295:K297)</f>
        <v>35.6</v>
      </c>
      <c r="L298" s="367">
        <f>SUM(L295:L297)</f>
        <v>14.746666666666666</v>
      </c>
    </row>
    <row r="299" spans="2:12" ht="11.25" customHeight="1">
      <c r="B299" s="351"/>
      <c r="C299" s="352"/>
      <c r="D299" s="352"/>
      <c r="E299" s="352"/>
      <c r="F299" s="352"/>
      <c r="G299" s="352"/>
      <c r="H299" s="353"/>
      <c r="I299" s="354"/>
      <c r="J299" s="354"/>
      <c r="K299" s="354"/>
      <c r="L299" s="355"/>
    </row>
    <row r="300" spans="2:12" ht="11.25" customHeight="1">
      <c r="B300" s="368" t="s">
        <v>260</v>
      </c>
      <c r="C300" s="352"/>
      <c r="D300" s="352"/>
      <c r="E300" s="352"/>
      <c r="F300" s="352"/>
      <c r="G300" s="352"/>
      <c r="H300" s="353"/>
      <c r="I300" s="354"/>
      <c r="J300" s="354"/>
      <c r="K300" s="354"/>
      <c r="L300" s="355"/>
    </row>
    <row r="301" spans="2:12" ht="11.25" customHeight="1">
      <c r="B301" s="362" t="s">
        <v>253</v>
      </c>
      <c r="C301" s="363">
        <f>중기사용료!$G$148</f>
        <v>23389</v>
      </c>
      <c r="D301" s="358" t="s">
        <v>227</v>
      </c>
      <c r="E301" s="364">
        <v>37.5</v>
      </c>
      <c r="F301" s="358" t="s">
        <v>228</v>
      </c>
      <c r="G301" s="364">
        <f>C301/E301</f>
        <v>623.70666666666671</v>
      </c>
      <c r="H301" s="353"/>
      <c r="I301" s="354"/>
      <c r="J301" s="367">
        <f>G301</f>
        <v>623.70666666666671</v>
      </c>
      <c r="K301" s="367"/>
      <c r="L301" s="369"/>
    </row>
    <row r="302" spans="2:12" ht="11.25" customHeight="1">
      <c r="B302" s="362" t="s">
        <v>254</v>
      </c>
      <c r="C302" s="363">
        <f>중기사용료!$G$142</f>
        <v>2318</v>
      </c>
      <c r="D302" s="358" t="s">
        <v>227</v>
      </c>
      <c r="E302" s="364">
        <v>37.5</v>
      </c>
      <c r="F302" s="358" t="s">
        <v>228</v>
      </c>
      <c r="G302" s="364">
        <f>C302/E302</f>
        <v>61.813333333333333</v>
      </c>
      <c r="H302" s="353"/>
      <c r="I302" s="354"/>
      <c r="J302" s="367"/>
      <c r="K302" s="367">
        <f>G302</f>
        <v>61.813333333333333</v>
      </c>
      <c r="L302" s="369"/>
    </row>
    <row r="303" spans="2:12" ht="11.25" customHeight="1">
      <c r="B303" s="362" t="s">
        <v>255</v>
      </c>
      <c r="C303" s="363">
        <f>중기사용료!$G$137</f>
        <v>1563</v>
      </c>
      <c r="D303" s="358" t="s">
        <v>227</v>
      </c>
      <c r="E303" s="364">
        <v>37.5</v>
      </c>
      <c r="F303" s="358" t="s">
        <v>228</v>
      </c>
      <c r="G303" s="364">
        <f>C303/E303</f>
        <v>41.68</v>
      </c>
      <c r="H303" s="353"/>
      <c r="I303" s="354"/>
      <c r="J303" s="367"/>
      <c r="K303" s="367"/>
      <c r="L303" s="369">
        <f>G303</f>
        <v>41.68</v>
      </c>
    </row>
    <row r="304" spans="2:12" ht="11.25" customHeight="1">
      <c r="B304" s="362" t="s">
        <v>256</v>
      </c>
      <c r="C304" s="352"/>
      <c r="D304" s="352"/>
      <c r="E304" s="352"/>
      <c r="F304" s="352"/>
      <c r="G304" s="364">
        <f>SUM(G301:G303)</f>
        <v>727.19999999999993</v>
      </c>
      <c r="H304" s="353"/>
      <c r="I304" s="367">
        <f>SUM(J304:L304)</f>
        <v>727.19999999999993</v>
      </c>
      <c r="J304" s="367">
        <f>SUM(J301:J303)</f>
        <v>623.70666666666671</v>
      </c>
      <c r="K304" s="367">
        <f>SUM(K301:K303)</f>
        <v>61.813333333333333</v>
      </c>
      <c r="L304" s="367">
        <f>SUM(L301:L303)</f>
        <v>41.68</v>
      </c>
    </row>
    <row r="305" spans="2:12" ht="11.25" customHeight="1">
      <c r="B305" s="351"/>
      <c r="C305" s="352"/>
      <c r="D305" s="352"/>
      <c r="E305" s="352"/>
      <c r="F305" s="352"/>
      <c r="G305" s="352"/>
      <c r="H305" s="353"/>
      <c r="I305" s="354"/>
      <c r="J305" s="354"/>
      <c r="K305" s="354"/>
      <c r="L305" s="355"/>
    </row>
    <row r="306" spans="2:12" ht="11.25" customHeight="1">
      <c r="B306" s="368" t="s">
        <v>261</v>
      </c>
      <c r="C306" s="364"/>
      <c r="D306" s="364"/>
      <c r="E306" s="364"/>
      <c r="F306" s="352"/>
      <c r="G306" s="352"/>
      <c r="H306" s="353"/>
      <c r="I306" s="354"/>
      <c r="J306" s="354"/>
      <c r="K306" s="354"/>
      <c r="L306" s="355"/>
    </row>
    <row r="307" spans="2:12" ht="11.25" customHeight="1">
      <c r="B307" s="362" t="s">
        <v>253</v>
      </c>
      <c r="C307" s="366">
        <f>G295</f>
        <v>623.70666666666671</v>
      </c>
      <c r="D307" s="370" t="s">
        <v>262</v>
      </c>
      <c r="E307" s="364">
        <f>G301</f>
        <v>623.70666666666671</v>
      </c>
      <c r="F307" s="358" t="s">
        <v>228</v>
      </c>
      <c r="G307" s="364">
        <f>C307+E307</f>
        <v>1247.4133333333334</v>
      </c>
      <c r="H307" s="353"/>
      <c r="I307" s="354"/>
      <c r="J307" s="367">
        <f>G307</f>
        <v>1247.4133333333334</v>
      </c>
      <c r="K307" s="367"/>
      <c r="L307" s="369"/>
    </row>
    <row r="308" spans="2:12" ht="11.25" customHeight="1">
      <c r="B308" s="362" t="s">
        <v>254</v>
      </c>
      <c r="C308" s="366">
        <f>G296</f>
        <v>35.6</v>
      </c>
      <c r="D308" s="370" t="s">
        <v>262</v>
      </c>
      <c r="E308" s="364">
        <f>G302</f>
        <v>61.813333333333333</v>
      </c>
      <c r="F308" s="358" t="s">
        <v>228</v>
      </c>
      <c r="G308" s="364">
        <f>C308+E308</f>
        <v>97.413333333333327</v>
      </c>
      <c r="H308" s="353"/>
      <c r="I308" s="354"/>
      <c r="J308" s="367"/>
      <c r="K308" s="367">
        <f>G308</f>
        <v>97.413333333333327</v>
      </c>
      <c r="L308" s="369"/>
    </row>
    <row r="309" spans="2:12" ht="11.25" customHeight="1">
      <c r="B309" s="362" t="s">
        <v>255</v>
      </c>
      <c r="C309" s="366">
        <f>G297</f>
        <v>14.746666666666666</v>
      </c>
      <c r="D309" s="370" t="s">
        <v>262</v>
      </c>
      <c r="E309" s="364">
        <f>G303</f>
        <v>41.68</v>
      </c>
      <c r="F309" s="358" t="s">
        <v>228</v>
      </c>
      <c r="G309" s="364">
        <f>C309+E309</f>
        <v>56.426666666666662</v>
      </c>
      <c r="H309" s="353"/>
      <c r="I309" s="354"/>
      <c r="J309" s="367"/>
      <c r="K309" s="367"/>
      <c r="L309" s="369">
        <f>G309</f>
        <v>56.426666666666662</v>
      </c>
    </row>
    <row r="310" spans="2:12" ht="11.25" customHeight="1">
      <c r="B310" s="362" t="s">
        <v>256</v>
      </c>
      <c r="C310" s="364"/>
      <c r="D310" s="370"/>
      <c r="E310" s="364"/>
      <c r="F310" s="352"/>
      <c r="G310" s="364">
        <f>SUM(G307:G309)</f>
        <v>1401.2533333333336</v>
      </c>
      <c r="H310" s="353"/>
      <c r="I310" s="367">
        <f>SUM(J310:L310)</f>
        <v>1401.2533333333336</v>
      </c>
      <c r="J310" s="367">
        <f>SUM(J307:J309)</f>
        <v>1247.4133333333334</v>
      </c>
      <c r="K310" s="367">
        <f>SUM(K307:K309)</f>
        <v>97.413333333333327</v>
      </c>
      <c r="L310" s="367">
        <f>SUM(L307:L309)</f>
        <v>56.426666666666662</v>
      </c>
    </row>
    <row r="311" spans="2:12" ht="11.25" customHeight="1">
      <c r="B311" s="351"/>
      <c r="C311" s="352"/>
      <c r="D311" s="352"/>
      <c r="E311" s="352"/>
      <c r="F311" s="352"/>
      <c r="G311" s="352"/>
      <c r="H311" s="353"/>
      <c r="I311" s="354"/>
      <c r="J311" s="354"/>
      <c r="K311" s="354"/>
      <c r="L311" s="355"/>
    </row>
    <row r="312" spans="2:12" ht="11.25" customHeight="1">
      <c r="B312" s="371" t="s">
        <v>263</v>
      </c>
      <c r="C312" s="347"/>
      <c r="D312" s="347"/>
      <c r="E312" s="347"/>
      <c r="F312" s="347"/>
      <c r="G312" s="347"/>
      <c r="H312" s="348"/>
      <c r="I312" s="349">
        <f>(SUM(J312:L312))</f>
        <v>4361</v>
      </c>
      <c r="J312" s="349">
        <f>INT(J278+J284+J290+J310)</f>
        <v>3393</v>
      </c>
      <c r="K312" s="349">
        <f>INT(K278+K284+K290+K310)</f>
        <v>523</v>
      </c>
      <c r="L312" s="349">
        <f>INT(L278+L284+L290+L310)</f>
        <v>445</v>
      </c>
    </row>
    <row r="313" spans="2:12" ht="11.25" customHeight="1">
      <c r="B313" s="362"/>
      <c r="C313" s="366"/>
      <c r="D313" s="370"/>
      <c r="E313" s="364"/>
      <c r="F313" s="358"/>
      <c r="G313" s="364"/>
      <c r="H313" s="353"/>
      <c r="I313" s="354"/>
      <c r="J313" s="367"/>
      <c r="K313" s="367"/>
      <c r="L313" s="369"/>
    </row>
    <row r="314" spans="2:12" ht="11.25" customHeight="1">
      <c r="B314" s="362"/>
      <c r="C314" s="366"/>
      <c r="D314" s="370"/>
      <c r="E314" s="364"/>
      <c r="F314" s="358"/>
      <c r="G314" s="364"/>
      <c r="H314" s="353"/>
      <c r="I314" s="354"/>
      <c r="J314" s="367"/>
      <c r="K314" s="367"/>
      <c r="L314" s="369"/>
    </row>
    <row r="315" spans="2:12" ht="11.25" customHeight="1">
      <c r="B315" s="362"/>
      <c r="C315" s="366"/>
      <c r="D315" s="370"/>
      <c r="E315" s="364"/>
      <c r="F315" s="358"/>
      <c r="G315" s="364"/>
      <c r="H315" s="353"/>
      <c r="I315" s="354"/>
      <c r="J315" s="367"/>
      <c r="K315" s="367"/>
      <c r="L315" s="369"/>
    </row>
    <row r="316" spans="2:12" ht="11.25" customHeight="1">
      <c r="B316" s="362"/>
      <c r="C316" s="364"/>
      <c r="D316" s="370"/>
      <c r="E316" s="364"/>
      <c r="F316" s="352"/>
      <c r="G316" s="364"/>
      <c r="H316" s="353"/>
      <c r="I316" s="367"/>
      <c r="J316" s="367"/>
      <c r="K316" s="367"/>
      <c r="L316" s="367"/>
    </row>
    <row r="317" spans="2:12" ht="11.25" customHeight="1">
      <c r="B317" s="351"/>
      <c r="C317" s="352"/>
      <c r="D317" s="352"/>
      <c r="E317" s="352"/>
      <c r="F317" s="352"/>
      <c r="G317" s="352"/>
      <c r="H317" s="353"/>
      <c r="I317" s="354"/>
      <c r="J317" s="354"/>
      <c r="K317" s="354"/>
      <c r="L317" s="355"/>
    </row>
    <row r="318" spans="2:12" ht="11.25" customHeight="1">
      <c r="B318" s="351"/>
      <c r="C318" s="352"/>
      <c r="D318" s="352"/>
      <c r="E318" s="352"/>
      <c r="F318" s="352"/>
      <c r="G318" s="352"/>
      <c r="H318" s="353"/>
      <c r="I318" s="354"/>
      <c r="J318" s="354"/>
      <c r="K318" s="354"/>
      <c r="L318" s="355"/>
    </row>
    <row r="319" spans="2:12" ht="11.25" customHeight="1">
      <c r="B319" s="351"/>
      <c r="C319" s="352"/>
      <c r="D319" s="352"/>
      <c r="E319" s="352"/>
      <c r="F319" s="352"/>
      <c r="G319" s="352"/>
      <c r="H319" s="353"/>
      <c r="I319" s="354"/>
      <c r="J319" s="354"/>
      <c r="K319" s="354"/>
      <c r="L319" s="355"/>
    </row>
    <row r="320" spans="2:12" ht="11.25" customHeight="1">
      <c r="B320" s="351"/>
      <c r="C320" s="352"/>
      <c r="D320" s="352"/>
      <c r="E320" s="352"/>
      <c r="F320" s="352"/>
      <c r="G320" s="352"/>
      <c r="H320" s="353"/>
      <c r="I320" s="354"/>
      <c r="J320" s="354"/>
      <c r="K320" s="354"/>
      <c r="L320" s="355"/>
    </row>
    <row r="321" spans="2:12" ht="11.25" customHeight="1">
      <c r="B321" s="351"/>
      <c r="C321" s="352"/>
      <c r="D321" s="352"/>
      <c r="E321" s="352"/>
      <c r="F321" s="352"/>
      <c r="G321" s="352"/>
      <c r="H321" s="353"/>
      <c r="I321" s="354"/>
      <c r="J321" s="354"/>
      <c r="K321" s="354"/>
      <c r="L321" s="355"/>
    </row>
    <row r="322" spans="2:12" ht="11.25" customHeight="1">
      <c r="B322" s="351"/>
      <c r="C322" s="352"/>
      <c r="D322" s="352"/>
      <c r="E322" s="352"/>
      <c r="F322" s="352"/>
      <c r="G322" s="352"/>
      <c r="H322" s="353"/>
      <c r="I322" s="354"/>
      <c r="J322" s="354"/>
      <c r="K322" s="354"/>
      <c r="L322" s="355"/>
    </row>
    <row r="323" spans="2:12" ht="11.25" customHeight="1">
      <c r="B323" s="351"/>
      <c r="C323" s="352"/>
      <c r="D323" s="352"/>
      <c r="E323" s="352"/>
      <c r="F323" s="352"/>
      <c r="G323" s="352"/>
      <c r="H323" s="353"/>
      <c r="I323" s="354"/>
      <c r="J323" s="354"/>
      <c r="K323" s="354"/>
      <c r="L323" s="355"/>
    </row>
    <row r="324" spans="2:12" ht="11.25" customHeight="1">
      <c r="B324" s="351"/>
      <c r="C324" s="352"/>
      <c r="D324" s="352"/>
      <c r="E324" s="352"/>
      <c r="F324" s="352"/>
      <c r="G324" s="352"/>
      <c r="H324" s="353"/>
      <c r="I324" s="354"/>
      <c r="J324" s="354"/>
      <c r="K324" s="354"/>
      <c r="L324" s="355"/>
    </row>
    <row r="325" spans="2:12" ht="11.25" customHeight="1">
      <c r="B325" s="351"/>
      <c r="C325" s="352"/>
      <c r="D325" s="352"/>
      <c r="E325" s="352"/>
      <c r="F325" s="352"/>
      <c r="G325" s="352"/>
      <c r="H325" s="353"/>
      <c r="I325" s="354"/>
      <c r="J325" s="354"/>
      <c r="K325" s="354"/>
      <c r="L325" s="355"/>
    </row>
    <row r="326" spans="2:12" ht="11.25" customHeight="1">
      <c r="B326" s="351"/>
      <c r="C326" s="352"/>
      <c r="D326" s="352"/>
      <c r="E326" s="352"/>
      <c r="F326" s="352"/>
      <c r="G326" s="352"/>
      <c r="H326" s="353"/>
      <c r="I326" s="354"/>
      <c r="J326" s="354"/>
      <c r="K326" s="354"/>
      <c r="L326" s="355"/>
    </row>
    <row r="327" spans="2:12" ht="11.25" customHeight="1">
      <c r="B327" s="351"/>
      <c r="C327" s="352"/>
      <c r="D327" s="352"/>
      <c r="E327" s="352"/>
      <c r="F327" s="352"/>
      <c r="G327" s="352"/>
      <c r="H327" s="353"/>
      <c r="I327" s="354"/>
      <c r="J327" s="354"/>
      <c r="K327" s="354"/>
      <c r="L327" s="355"/>
    </row>
    <row r="328" spans="2:12" ht="11.25" customHeight="1">
      <c r="B328" s="351"/>
      <c r="C328" s="352"/>
      <c r="D328" s="352"/>
      <c r="E328" s="352"/>
      <c r="F328" s="352"/>
      <c r="G328" s="352"/>
      <c r="H328" s="353"/>
      <c r="I328" s="354"/>
      <c r="J328" s="354"/>
      <c r="K328" s="354"/>
      <c r="L328" s="355"/>
    </row>
    <row r="329" spans="2:12" ht="11.25" customHeight="1">
      <c r="B329" s="351"/>
      <c r="C329" s="352"/>
      <c r="D329" s="352"/>
      <c r="E329" s="352"/>
      <c r="F329" s="352"/>
      <c r="G329" s="352"/>
      <c r="H329" s="353"/>
      <c r="I329" s="354"/>
      <c r="J329" s="354"/>
      <c r="K329" s="354"/>
      <c r="L329" s="355"/>
    </row>
    <row r="330" spans="2:12" ht="11.25" customHeight="1">
      <c r="B330" s="351"/>
      <c r="C330" s="352"/>
      <c r="D330" s="352"/>
      <c r="E330" s="352"/>
      <c r="F330" s="352"/>
      <c r="G330" s="352"/>
      <c r="H330" s="353"/>
      <c r="I330" s="354"/>
      <c r="J330" s="354"/>
      <c r="K330" s="354"/>
      <c r="L330" s="355"/>
    </row>
    <row r="331" spans="2:12" ht="11.25" customHeight="1">
      <c r="B331" s="351"/>
      <c r="C331" s="352"/>
      <c r="D331" s="352"/>
      <c r="E331" s="352"/>
      <c r="F331" s="352"/>
      <c r="G331" s="352"/>
      <c r="H331" s="353"/>
      <c r="I331" s="354"/>
      <c r="J331" s="354"/>
      <c r="K331" s="354"/>
      <c r="L331" s="355"/>
    </row>
    <row r="332" spans="2:12" ht="11.25" customHeight="1">
      <c r="B332" s="351"/>
      <c r="C332" s="352"/>
      <c r="D332" s="352"/>
      <c r="E332" s="352"/>
      <c r="F332" s="352"/>
      <c r="G332" s="352"/>
      <c r="H332" s="353"/>
      <c r="I332" s="354"/>
      <c r="J332" s="354"/>
      <c r="K332" s="354"/>
      <c r="L332" s="355"/>
    </row>
    <row r="333" spans="2:12" ht="11.25" customHeight="1">
      <c r="B333" s="351"/>
      <c r="C333" s="352"/>
      <c r="D333" s="352"/>
      <c r="E333" s="352"/>
      <c r="F333" s="352"/>
      <c r="G333" s="352"/>
      <c r="H333" s="353"/>
      <c r="I333" s="354"/>
      <c r="J333" s="354"/>
      <c r="K333" s="354"/>
      <c r="L333" s="355"/>
    </row>
  </sheetData>
  <mergeCells count="2">
    <mergeCell ref="B1:L2"/>
    <mergeCell ref="B3:G3"/>
  </mergeCells>
  <phoneticPr fontId="4" type="noConversion"/>
  <printOptions horizontalCentered="1"/>
  <pageMargins left="0.78740157480314965" right="7.874015748031496E-2" top="0.94488188976377963" bottom="0.59055118110236227" header="0.51181102362204722" footer="0.51181102362204722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1"/>
  <dimension ref="A1:AH164"/>
  <sheetViews>
    <sheetView showGridLines="0" showZeros="0" view="pageBreakPreview" zoomScaleNormal="115" zoomScaleSheetLayoutView="100" workbookViewId="0">
      <selection activeCell="F20" sqref="F20"/>
    </sheetView>
  </sheetViews>
  <sheetFormatPr defaultRowHeight="13.5"/>
  <cols>
    <col min="1" max="2" width="3.21875" style="326" customWidth="1"/>
    <col min="3" max="3" width="5.21875" style="326" customWidth="1"/>
    <col min="4" max="4" width="3.6640625" style="326" bestFit="1" customWidth="1"/>
    <col min="5" max="6" width="3.21875" style="326" customWidth="1"/>
    <col min="7" max="7" width="5.88671875" style="326" customWidth="1"/>
    <col min="8" max="8" width="4.5546875" style="326" bestFit="1" customWidth="1"/>
    <col min="9" max="9" width="3.21875" style="326" customWidth="1"/>
    <col min="10" max="10" width="3.6640625" style="326" bestFit="1" customWidth="1"/>
    <col min="11" max="14" width="3.21875" style="326" customWidth="1"/>
    <col min="15" max="15" width="5.44140625" style="326" customWidth="1"/>
    <col min="16" max="33" width="3.21875" style="326" customWidth="1"/>
    <col min="34" max="34" width="12.21875" style="326" bestFit="1" customWidth="1"/>
    <col min="35" max="16384" width="8.88671875" style="326"/>
  </cols>
  <sheetData>
    <row r="1" spans="1:34" ht="25.5" customHeight="1">
      <c r="A1" s="323" t="s">
        <v>39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5"/>
    </row>
    <row r="2" spans="1:34" ht="25.5" customHeight="1">
      <c r="A2" s="327" t="s">
        <v>40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328"/>
    </row>
    <row r="3" spans="1:34" ht="18" customHeight="1">
      <c r="A3" s="329"/>
      <c r="AD3" s="330"/>
    </row>
    <row r="4" spans="1:34" ht="18" customHeight="1">
      <c r="A4" s="329" t="s">
        <v>477</v>
      </c>
      <c r="B4" s="326" t="s">
        <v>41</v>
      </c>
      <c r="AD4" s="330"/>
    </row>
    <row r="5" spans="1:34" ht="18" customHeight="1">
      <c r="A5" s="329"/>
      <c r="B5" s="326" t="s">
        <v>42</v>
      </c>
      <c r="AD5" s="330"/>
    </row>
    <row r="6" spans="1:34" ht="18" customHeight="1">
      <c r="A6" s="329"/>
      <c r="B6" s="326" t="s">
        <v>43</v>
      </c>
      <c r="AD6" s="330"/>
    </row>
    <row r="7" spans="1:34" ht="18" customHeight="1">
      <c r="A7" s="329" t="s">
        <v>44</v>
      </c>
      <c r="B7" s="326" t="s">
        <v>45</v>
      </c>
      <c r="AD7" s="330"/>
    </row>
    <row r="8" spans="1:34" ht="18" customHeight="1">
      <c r="A8" s="329" t="s">
        <v>46</v>
      </c>
      <c r="B8" s="326" t="s">
        <v>47</v>
      </c>
      <c r="AD8" s="330"/>
    </row>
    <row r="9" spans="1:34" ht="18" customHeight="1">
      <c r="A9" s="329"/>
      <c r="B9" s="326" t="s">
        <v>48</v>
      </c>
      <c r="AD9" s="330"/>
      <c r="AH9" s="326">
        <f>ROUND(((3600*0.2*0.9*0.85*0.55)/15),2)</f>
        <v>20.2</v>
      </c>
    </row>
    <row r="10" spans="1:34" ht="18" customHeight="1">
      <c r="A10" s="329"/>
      <c r="AD10" s="330"/>
    </row>
    <row r="11" spans="1:34" ht="18" customHeight="1">
      <c r="A11" s="329"/>
      <c r="C11" s="326" t="s">
        <v>49</v>
      </c>
      <c r="E11" s="638">
        <f>'중기사용료--'!G14</f>
        <v>8197</v>
      </c>
      <c r="F11" s="638"/>
      <c r="G11" s="638"/>
      <c r="H11" s="326" t="s">
        <v>50</v>
      </c>
      <c r="I11" s="639">
        <f>AH9</f>
        <v>20.2</v>
      </c>
      <c r="J11" s="639"/>
      <c r="K11" s="326" t="s">
        <v>740</v>
      </c>
      <c r="L11" s="640">
        <f>INT(E11/I11)</f>
        <v>405</v>
      </c>
      <c r="M11" s="640"/>
      <c r="N11" s="640"/>
      <c r="AD11" s="330"/>
    </row>
    <row r="12" spans="1:34" ht="18" customHeight="1">
      <c r="A12" s="329"/>
      <c r="C12" s="326" t="s">
        <v>51</v>
      </c>
      <c r="E12" s="638">
        <f>'중기사용료--'!G20</f>
        <v>42257</v>
      </c>
      <c r="F12" s="638"/>
      <c r="G12" s="638"/>
      <c r="H12" s="326" t="s">
        <v>50</v>
      </c>
      <c r="I12" s="639">
        <f>AH9</f>
        <v>20.2</v>
      </c>
      <c r="J12" s="639"/>
      <c r="K12" s="326" t="s">
        <v>740</v>
      </c>
      <c r="L12" s="640">
        <f>INT(E12/I12)</f>
        <v>2091</v>
      </c>
      <c r="M12" s="640"/>
      <c r="N12" s="640"/>
      <c r="AD12" s="330"/>
    </row>
    <row r="13" spans="1:34" ht="18" customHeight="1">
      <c r="A13" s="329"/>
      <c r="B13" s="331"/>
      <c r="C13" s="326" t="s">
        <v>52</v>
      </c>
      <c r="E13" s="638">
        <f>'중기사용료--'!G9</f>
        <v>12464</v>
      </c>
      <c r="F13" s="638"/>
      <c r="G13" s="638"/>
      <c r="H13" s="326" t="s">
        <v>50</v>
      </c>
      <c r="I13" s="639">
        <f>AH9</f>
        <v>20.2</v>
      </c>
      <c r="J13" s="639"/>
      <c r="K13" s="326" t="s">
        <v>740</v>
      </c>
      <c r="L13" s="640">
        <f>INT(E13/I13)</f>
        <v>617</v>
      </c>
      <c r="M13" s="640"/>
      <c r="N13" s="640"/>
      <c r="AD13" s="330"/>
    </row>
    <row r="14" spans="1:34" ht="18" customHeight="1">
      <c r="A14" s="329"/>
      <c r="B14" s="331"/>
      <c r="C14" s="332" t="s">
        <v>53</v>
      </c>
      <c r="AD14" s="330"/>
    </row>
    <row r="15" spans="1:34" ht="18" customHeight="1">
      <c r="A15" s="329"/>
      <c r="B15" s="331"/>
      <c r="C15" s="326" t="s">
        <v>492</v>
      </c>
      <c r="L15" s="640">
        <f>SUM(L11:N14)</f>
        <v>3113</v>
      </c>
      <c r="M15" s="640"/>
      <c r="N15" s="640"/>
      <c r="AD15" s="330"/>
    </row>
    <row r="16" spans="1:34" ht="18" customHeight="1">
      <c r="A16" s="329"/>
      <c r="AD16" s="330"/>
    </row>
    <row r="17" spans="1:30" ht="18" customHeight="1">
      <c r="A17" s="329" t="s">
        <v>54</v>
      </c>
      <c r="AD17" s="330"/>
    </row>
    <row r="18" spans="1:30" ht="18" customHeight="1">
      <c r="A18" s="329"/>
      <c r="AD18" s="330"/>
    </row>
    <row r="19" spans="1:30" ht="18" customHeight="1">
      <c r="A19" s="329"/>
      <c r="AD19" s="330"/>
    </row>
    <row r="20" spans="1:30" ht="18" customHeight="1">
      <c r="A20" s="329"/>
      <c r="AD20" s="330"/>
    </row>
    <row r="21" spans="1:30" ht="18" customHeight="1">
      <c r="A21" s="329"/>
      <c r="AD21" s="330"/>
    </row>
    <row r="22" spans="1:30" ht="18" customHeight="1">
      <c r="A22" s="329"/>
      <c r="AD22" s="330"/>
    </row>
    <row r="23" spans="1:30" ht="18" customHeight="1">
      <c r="A23" s="329"/>
      <c r="AD23" s="330"/>
    </row>
    <row r="24" spans="1:30" ht="18" customHeight="1">
      <c r="A24" s="329"/>
      <c r="AD24" s="330"/>
    </row>
    <row r="25" spans="1:30" ht="18" customHeight="1">
      <c r="A25" s="329"/>
      <c r="AD25" s="330"/>
    </row>
    <row r="26" spans="1:30" ht="18" customHeight="1">
      <c r="A26" s="327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328"/>
    </row>
    <row r="27" spans="1:30" ht="26.1" customHeight="1">
      <c r="A27" s="323" t="s">
        <v>55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324"/>
      <c r="AB27" s="324"/>
      <c r="AC27" s="324"/>
      <c r="AD27" s="325"/>
    </row>
    <row r="28" spans="1:30" ht="26.1" customHeight="1">
      <c r="A28" s="327" t="s">
        <v>40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328"/>
    </row>
    <row r="29" spans="1:30" ht="18" customHeight="1">
      <c r="A29" s="329"/>
      <c r="AD29" s="330"/>
    </row>
    <row r="30" spans="1:30" ht="18" customHeight="1">
      <c r="A30" s="329"/>
      <c r="B30" s="326" t="s">
        <v>41</v>
      </c>
      <c r="AD30" s="330"/>
    </row>
    <row r="31" spans="1:30" ht="18" customHeight="1">
      <c r="A31" s="329"/>
      <c r="B31" s="326" t="s">
        <v>42</v>
      </c>
      <c r="AD31" s="330"/>
    </row>
    <row r="32" spans="1:30" ht="18" customHeight="1">
      <c r="A32" s="329"/>
      <c r="B32" s="326" t="s">
        <v>56</v>
      </c>
      <c r="AD32" s="330"/>
    </row>
    <row r="33" spans="1:34" ht="18" customHeight="1">
      <c r="A33" s="329" t="s">
        <v>57</v>
      </c>
      <c r="B33" s="326" t="s">
        <v>58</v>
      </c>
      <c r="AD33" s="330"/>
    </row>
    <row r="34" spans="1:34" ht="18" customHeight="1">
      <c r="A34" s="329" t="s">
        <v>57</v>
      </c>
      <c r="B34" s="326" t="s">
        <v>47</v>
      </c>
      <c r="AD34" s="330"/>
    </row>
    <row r="35" spans="1:34" ht="18" customHeight="1">
      <c r="A35" s="329"/>
      <c r="B35" s="326" t="s">
        <v>59</v>
      </c>
      <c r="AD35" s="330"/>
      <c r="AH35" s="326">
        <f>ROUNDDOWN(((3600*0.2*0.9*0.85*0.65)/15),2)</f>
        <v>23.86</v>
      </c>
    </row>
    <row r="36" spans="1:34" ht="18" customHeight="1">
      <c r="A36" s="329"/>
      <c r="AD36" s="330"/>
    </row>
    <row r="37" spans="1:34" ht="18" customHeight="1">
      <c r="A37" s="329"/>
      <c r="C37" s="326" t="s">
        <v>49</v>
      </c>
      <c r="E37" s="638">
        <f>'중기사용료--'!G14</f>
        <v>8197</v>
      </c>
      <c r="F37" s="638"/>
      <c r="G37" s="638"/>
      <c r="H37" s="326" t="s">
        <v>50</v>
      </c>
      <c r="I37" s="639">
        <f>AH35</f>
        <v>23.86</v>
      </c>
      <c r="J37" s="639"/>
      <c r="K37" s="326" t="s">
        <v>740</v>
      </c>
      <c r="L37" s="640">
        <f>INT(E37/I37)</f>
        <v>343</v>
      </c>
      <c r="M37" s="640"/>
      <c r="N37" s="640"/>
      <c r="AD37" s="330"/>
    </row>
    <row r="38" spans="1:34" ht="18" customHeight="1">
      <c r="A38" s="329"/>
      <c r="C38" s="326" t="s">
        <v>51</v>
      </c>
      <c r="E38" s="638">
        <f>'중기사용료--'!G20</f>
        <v>42257</v>
      </c>
      <c r="F38" s="638"/>
      <c r="G38" s="638"/>
      <c r="H38" s="326" t="s">
        <v>50</v>
      </c>
      <c r="I38" s="639">
        <f>AH35</f>
        <v>23.86</v>
      </c>
      <c r="J38" s="639"/>
      <c r="K38" s="326" t="s">
        <v>740</v>
      </c>
      <c r="L38" s="640">
        <f>INT(E38/I38)</f>
        <v>1771</v>
      </c>
      <c r="M38" s="640"/>
      <c r="N38" s="640"/>
      <c r="AD38" s="330"/>
    </row>
    <row r="39" spans="1:34" ht="18" customHeight="1">
      <c r="A39" s="329"/>
      <c r="B39" s="331"/>
      <c r="C39" s="326" t="s">
        <v>52</v>
      </c>
      <c r="E39" s="638">
        <f>'중기사용료--'!G9</f>
        <v>12464</v>
      </c>
      <c r="F39" s="638"/>
      <c r="G39" s="638"/>
      <c r="H39" s="326" t="s">
        <v>50</v>
      </c>
      <c r="I39" s="639">
        <f>AH35</f>
        <v>23.86</v>
      </c>
      <c r="J39" s="639"/>
      <c r="K39" s="326" t="s">
        <v>740</v>
      </c>
      <c r="L39" s="640">
        <f>INT(E39/I39)</f>
        <v>522</v>
      </c>
      <c r="M39" s="640"/>
      <c r="N39" s="640"/>
      <c r="AD39" s="330"/>
    </row>
    <row r="40" spans="1:34" ht="18" customHeight="1">
      <c r="A40" s="329"/>
      <c r="B40" s="331"/>
      <c r="C40" s="332" t="s">
        <v>53</v>
      </c>
      <c r="AD40" s="330"/>
    </row>
    <row r="41" spans="1:34" ht="18" customHeight="1">
      <c r="A41" s="329"/>
      <c r="B41" s="331"/>
      <c r="C41" s="326" t="s">
        <v>492</v>
      </c>
      <c r="L41" s="640">
        <f>SUM(L37:N40)</f>
        <v>2636</v>
      </c>
      <c r="M41" s="640"/>
      <c r="N41" s="640"/>
      <c r="AD41" s="330"/>
    </row>
    <row r="42" spans="1:34" ht="18" customHeight="1">
      <c r="A42" s="329"/>
      <c r="AD42" s="330"/>
    </row>
    <row r="43" spans="1:34" ht="18" customHeight="1">
      <c r="A43" s="329"/>
      <c r="AD43" s="330"/>
    </row>
    <row r="44" spans="1:34" ht="18" customHeight="1">
      <c r="A44" s="329"/>
      <c r="AD44" s="330"/>
    </row>
    <row r="45" spans="1:34" ht="18" customHeight="1">
      <c r="A45" s="329"/>
      <c r="AD45" s="330"/>
    </row>
    <row r="46" spans="1:34" ht="18" customHeight="1">
      <c r="A46" s="329"/>
      <c r="AD46" s="330"/>
    </row>
    <row r="47" spans="1:34" ht="18" customHeight="1">
      <c r="A47" s="329"/>
      <c r="AD47" s="330"/>
    </row>
    <row r="48" spans="1:34" ht="18" customHeight="1">
      <c r="A48" s="329"/>
      <c r="AD48" s="330"/>
    </row>
    <row r="49" spans="1:34" ht="18" customHeight="1">
      <c r="A49" s="329"/>
      <c r="AD49" s="330"/>
    </row>
    <row r="50" spans="1:34" ht="18" customHeight="1">
      <c r="A50" s="329"/>
      <c r="AD50" s="330"/>
    </row>
    <row r="51" spans="1:34" ht="18" customHeight="1">
      <c r="A51" s="329"/>
      <c r="AD51" s="330"/>
    </row>
    <row r="52" spans="1:34" ht="18" customHeight="1">
      <c r="A52" s="327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209"/>
      <c r="AB52" s="209"/>
      <c r="AC52" s="209"/>
      <c r="AD52" s="328"/>
    </row>
    <row r="53" spans="1:34" ht="25.5" customHeight="1">
      <c r="A53" s="323" t="s">
        <v>60</v>
      </c>
      <c r="B53" s="324"/>
      <c r="C53" s="324"/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5"/>
    </row>
    <row r="54" spans="1:34" ht="25.5" customHeight="1">
      <c r="A54" s="327" t="s">
        <v>61</v>
      </c>
      <c r="B54" s="209"/>
      <c r="C54" s="209"/>
      <c r="D54" s="209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328"/>
    </row>
    <row r="55" spans="1:34" ht="15" customHeight="1">
      <c r="A55" s="329"/>
      <c r="AD55" s="330"/>
    </row>
    <row r="56" spans="1:34" ht="15" customHeight="1">
      <c r="A56" s="329" t="s">
        <v>477</v>
      </c>
      <c r="B56" s="326" t="s">
        <v>41</v>
      </c>
      <c r="AD56" s="330"/>
    </row>
    <row r="57" spans="1:34" ht="15" customHeight="1">
      <c r="A57" s="329"/>
      <c r="B57" s="326" t="s">
        <v>62</v>
      </c>
      <c r="C57" s="326" t="s">
        <v>63</v>
      </c>
      <c r="AD57" s="330"/>
    </row>
    <row r="58" spans="1:34" ht="15" customHeight="1">
      <c r="A58" s="329"/>
      <c r="B58" s="326" t="s">
        <v>43</v>
      </c>
      <c r="C58" s="326" t="s">
        <v>64</v>
      </c>
      <c r="AD58" s="330"/>
    </row>
    <row r="59" spans="1:34" ht="15" customHeight="1">
      <c r="A59" s="329" t="s">
        <v>44</v>
      </c>
      <c r="B59" s="326" t="s">
        <v>65</v>
      </c>
      <c r="C59" s="326" t="s">
        <v>66</v>
      </c>
      <c r="E59" s="326" t="s">
        <v>67</v>
      </c>
      <c r="AD59" s="330"/>
    </row>
    <row r="60" spans="1:34" ht="15" customHeight="1">
      <c r="A60" s="329"/>
      <c r="C60" s="326" t="s">
        <v>68</v>
      </c>
      <c r="E60" s="326" t="s">
        <v>69</v>
      </c>
      <c r="AD60" s="330"/>
    </row>
    <row r="61" spans="1:34" ht="15" customHeight="1">
      <c r="A61" s="329" t="s">
        <v>46</v>
      </c>
      <c r="B61" s="326" t="s">
        <v>70</v>
      </c>
      <c r="AD61" s="330"/>
    </row>
    <row r="62" spans="1:34" ht="15" customHeight="1">
      <c r="A62" s="329"/>
      <c r="C62" s="326" t="s">
        <v>71</v>
      </c>
      <c r="AD62" s="330"/>
    </row>
    <row r="63" spans="1:34" ht="15" customHeight="1">
      <c r="A63" s="329"/>
      <c r="AD63" s="330"/>
      <c r="AH63" s="333">
        <v>1134000</v>
      </c>
    </row>
    <row r="64" spans="1:34" ht="15" customHeight="1">
      <c r="A64" s="329"/>
      <c r="B64" s="326" t="str">
        <f>"2. 기계손료 =  "&amp;FIXED(AH63,0)&amp;"  ×3,576 ×10-7 =  "&amp;FIXED(AH64,0)&amp;"(원/본)"</f>
        <v>2. 기계손료 =  1,134,000  ×3,576 ×10-7 =  405(원/본)</v>
      </c>
      <c r="AD64" s="330"/>
      <c r="AH64" s="334">
        <f>INT(1134000*3576*10^-7)</f>
        <v>405</v>
      </c>
    </row>
    <row r="65" spans="1:34" ht="15" customHeight="1">
      <c r="A65" s="329"/>
      <c r="AD65" s="330"/>
    </row>
    <row r="66" spans="1:34" ht="15" customHeight="1">
      <c r="A66" s="329"/>
      <c r="B66" s="326" t="s">
        <v>72</v>
      </c>
      <c r="AD66" s="330"/>
    </row>
    <row r="67" spans="1:34" ht="15" customHeight="1">
      <c r="A67" s="329"/>
      <c r="AD67" s="330"/>
    </row>
    <row r="68" spans="1:34" ht="15" customHeight="1">
      <c r="A68" s="329"/>
      <c r="B68" s="326" t="s">
        <v>73</v>
      </c>
      <c r="AD68" s="330"/>
    </row>
    <row r="69" spans="1:34" ht="15" customHeight="1">
      <c r="A69" s="329"/>
      <c r="AD69" s="330"/>
      <c r="AH69" s="335">
        <f>INT(0.7*'중기사용료--'!N2)</f>
        <v>1051</v>
      </c>
    </row>
    <row r="70" spans="1:34" ht="15" customHeight="1">
      <c r="A70" s="329"/>
      <c r="B70" s="326" t="s">
        <v>74</v>
      </c>
      <c r="C70" s="326" t="str">
        <f>"잡유(주연료의 10%) =  "&amp;FIXED(AH69,0)&amp;"  x 0.1  =  "&amp;FIXED(AH70,0)&amp;"(원/hr)"</f>
        <v>잡유(주연료의 10%) =  1,051  x 0.1  =  105(원/hr)</v>
      </c>
      <c r="AD70" s="330"/>
      <c r="AH70" s="335">
        <f>INT(AH69*0.1)</f>
        <v>105</v>
      </c>
    </row>
    <row r="71" spans="1:34" ht="15" customHeight="1">
      <c r="A71" s="329"/>
      <c r="C71" s="326" t="str">
        <f>"소    계  =  "&amp;FIXED(AH69,0)&amp;"  +  "&amp;FIXED(AH70,0)&amp;"  =  "&amp;FIXED(AH71,0)&amp;"(원/hr)"</f>
        <v>소    계  =  1,051  +  105  =  1,156(원/hr)</v>
      </c>
      <c r="AD71" s="330"/>
      <c r="AH71" s="336">
        <f>AH69+AH70</f>
        <v>1156</v>
      </c>
    </row>
    <row r="72" spans="1:34" ht="15" customHeight="1">
      <c r="A72" s="329"/>
      <c r="AD72" s="330"/>
    </row>
    <row r="73" spans="1:34" ht="15" customHeight="1">
      <c r="A73" s="329"/>
      <c r="B73" s="326" t="s">
        <v>75</v>
      </c>
      <c r="AD73" s="330"/>
    </row>
    <row r="74" spans="1:34" ht="15" customHeight="1">
      <c r="A74" s="329"/>
      <c r="AD74" s="330"/>
    </row>
    <row r="75" spans="1:34" ht="15" customHeight="1">
      <c r="A75" s="329"/>
      <c r="B75" s="326" t="s">
        <v>76</v>
      </c>
      <c r="C75" s="326" t="str">
        <f>"운전사(기계) = 1인x1/8x16/12x25/20x"&amp;FIXED('중기사용료--'!N13,0)&amp;"  =  "&amp;FIXED('중기사용료--'!V13,0)&amp;"(원/hr)"</f>
        <v>운전사(기계) = 1인x1/8x16/12x25/20x138,956  =  28,941(원/hr)</v>
      </c>
      <c r="AD75" s="330"/>
      <c r="AH75" s="336">
        <f>'중기사용료--'!V13</f>
        <v>28941</v>
      </c>
    </row>
    <row r="76" spans="1:34" ht="15" customHeight="1">
      <c r="A76" s="329"/>
      <c r="B76" s="326" t="s">
        <v>76</v>
      </c>
      <c r="AD76" s="330"/>
    </row>
    <row r="77" spans="1:34" ht="15" customHeight="1">
      <c r="A77" s="329"/>
      <c r="B77" s="326" t="s">
        <v>76</v>
      </c>
      <c r="C77" s="326" t="str">
        <f>"소    계  =  "&amp;FIXED(AH75,0)&amp;"(원/hr)"</f>
        <v>소    계  =  28,941(원/hr)</v>
      </c>
      <c r="AD77" s="330"/>
    </row>
    <row r="78" spans="1:34" ht="15" customHeight="1">
      <c r="A78" s="329"/>
      <c r="AD78" s="330"/>
    </row>
    <row r="79" spans="1:34" ht="15" customHeight="1">
      <c r="A79" s="329"/>
      <c r="B79" s="326" t="s">
        <v>174</v>
      </c>
      <c r="AD79" s="330"/>
    </row>
    <row r="80" spans="1:34" ht="15" customHeight="1">
      <c r="A80" s="329"/>
      <c r="AD80" s="330"/>
    </row>
    <row r="81" spans="1:34" ht="15" customHeight="1">
      <c r="A81" s="329"/>
      <c r="C81" s="326" t="str">
        <f>"재료비 =  "&amp;FIXED(AH71,0)&amp;" / 6.3 =  "&amp;FIXED(AH81,0)&amp;"(원/hr)"</f>
        <v>재료비 =  1,156 / 6.3 =  183(원/hr)</v>
      </c>
      <c r="AD81" s="330"/>
      <c r="AH81" s="335">
        <f>INT(AH71/6.3)</f>
        <v>183</v>
      </c>
    </row>
    <row r="82" spans="1:34" ht="15" customHeight="1">
      <c r="A82" s="329"/>
      <c r="C82" s="326" t="str">
        <f>"노무비 =  "&amp;FIXED(AH75,0)&amp;" / 6.3 =  "&amp;FIXED(AH82,0)&amp;"(원/hr)"</f>
        <v>노무비 =  28,941 / 6.3 =  4,593(원/hr)</v>
      </c>
      <c r="AD82" s="330"/>
      <c r="AH82" s="335">
        <f>INT(AH75/6.3)</f>
        <v>4593</v>
      </c>
    </row>
    <row r="83" spans="1:34" ht="15" customHeight="1">
      <c r="A83" s="329"/>
      <c r="C83" s="326" t="str">
        <f>"경  비 =  "&amp;FIXED(AH64,0)&amp;" / 6.3 =  "&amp;FIXED(AH83,0)&amp;"(원/hr)"</f>
        <v>경  비 =  405 / 6.3 =  77(원/hr)</v>
      </c>
      <c r="AD83" s="330"/>
      <c r="AH83" s="335">
        <f>INT(487/6.3)</f>
        <v>77</v>
      </c>
    </row>
    <row r="84" spans="1:34" ht="15" customHeight="1">
      <c r="A84" s="327"/>
      <c r="B84" s="209"/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328"/>
      <c r="AH84" s="335"/>
    </row>
    <row r="85" spans="1:34" ht="26.1" hidden="1" customHeight="1">
      <c r="A85" s="323" t="s">
        <v>175</v>
      </c>
      <c r="B85" s="324"/>
      <c r="C85" s="324"/>
      <c r="D85" s="324"/>
      <c r="E85" s="324"/>
      <c r="F85" s="324"/>
      <c r="G85" s="324"/>
      <c r="H85" s="324"/>
      <c r="I85" s="324"/>
      <c r="J85" s="324"/>
      <c r="K85" s="324"/>
      <c r="L85" s="324"/>
      <c r="M85" s="324"/>
      <c r="N85" s="324"/>
      <c r="O85" s="324"/>
      <c r="P85" s="324"/>
      <c r="Q85" s="324"/>
      <c r="R85" s="324"/>
      <c r="S85" s="324"/>
      <c r="T85" s="324"/>
      <c r="U85" s="324"/>
      <c r="V85" s="324"/>
      <c r="W85" s="324"/>
      <c r="X85" s="324"/>
      <c r="Y85" s="324"/>
      <c r="Z85" s="324"/>
      <c r="AA85" s="324"/>
      <c r="AB85" s="324"/>
      <c r="AC85" s="324"/>
      <c r="AD85" s="325"/>
    </row>
    <row r="86" spans="1:34" ht="26.1" hidden="1" customHeight="1">
      <c r="A86" s="327"/>
      <c r="B86" s="209" t="s">
        <v>176</v>
      </c>
      <c r="C86" s="209"/>
      <c r="D86" s="209"/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328"/>
    </row>
    <row r="87" spans="1:34" ht="18" hidden="1" customHeight="1">
      <c r="A87" s="329"/>
      <c r="AD87" s="330"/>
    </row>
    <row r="88" spans="1:34" ht="18" hidden="1" customHeight="1">
      <c r="A88" s="329" t="s">
        <v>177</v>
      </c>
      <c r="AD88" s="330"/>
    </row>
    <row r="89" spans="1:34" ht="18" hidden="1" customHeight="1">
      <c r="A89" s="329"/>
      <c r="C89" s="326" t="str">
        <f>"    T = Tc / F = "&amp;AH91&amp;" / 0.7 = "&amp;FIXED(AH89,2)&amp;"(분/본)"</f>
        <v xml:space="preserve">    T = Tc / F = 33 / 0.7 = 47.14(분/본)</v>
      </c>
      <c r="AD89" s="330"/>
      <c r="AH89" s="326">
        <f>ROUNDDOWN((AH91/0.7),2)</f>
        <v>47.14</v>
      </c>
    </row>
    <row r="90" spans="1:34" ht="18" hidden="1" customHeight="1">
      <c r="A90" s="329"/>
      <c r="C90" s="326" t="s">
        <v>178</v>
      </c>
      <c r="AD90" s="330"/>
      <c r="AH90" s="326">
        <f>ROUNDDOWN((AH91/0.7/60),6)</f>
        <v>0.78571400000000002</v>
      </c>
    </row>
    <row r="91" spans="1:34" ht="18" hidden="1" customHeight="1">
      <c r="A91" s="329"/>
      <c r="C91" s="326" t="s">
        <v>179</v>
      </c>
      <c r="AD91" s="330"/>
      <c r="AH91" s="326">
        <v>33</v>
      </c>
    </row>
    <row r="92" spans="1:34" ht="18" hidden="1" customHeight="1">
      <c r="A92" s="329" t="s">
        <v>180</v>
      </c>
      <c r="C92" s="326" t="s">
        <v>181</v>
      </c>
      <c r="AD92" s="330"/>
    </row>
    <row r="93" spans="1:34" ht="18" hidden="1" customHeight="1">
      <c r="A93" s="329"/>
      <c r="AD93" s="330"/>
      <c r="AH93" s="335">
        <v>32107000</v>
      </c>
    </row>
    <row r="94" spans="1:34" ht="18" hidden="1" customHeight="1">
      <c r="A94" s="329"/>
      <c r="B94" s="326" t="str">
        <f>"2. 기계손료 =  "&amp;FIXED(AH93,0)&amp;"  ×3,412 ×10-7×"&amp;FIXED(AH91,0)&amp;" / 0.7 / 60 =  "&amp;FIXED(AH94,0)&amp;"(원/본)"</f>
        <v>2. 기계손료 =  32,107,000  ×3,412 ×10-7×33 / 0.7 / 60 =  8,607(원/본)</v>
      </c>
      <c r="AD94" s="330"/>
      <c r="AH94" s="336">
        <f>INT(AH93*3412*10^-7*AH90)</f>
        <v>8607</v>
      </c>
    </row>
    <row r="95" spans="1:34" ht="18" hidden="1" customHeight="1">
      <c r="A95" s="329"/>
      <c r="AD95" s="330"/>
    </row>
    <row r="96" spans="1:34" ht="18" hidden="1" customHeight="1">
      <c r="A96" s="329"/>
      <c r="B96" s="326" t="s">
        <v>72</v>
      </c>
      <c r="AD96" s="330"/>
    </row>
    <row r="97" spans="1:34" ht="18" hidden="1" customHeight="1">
      <c r="A97" s="329"/>
      <c r="B97" s="326" t="s">
        <v>73</v>
      </c>
      <c r="AD97" s="330"/>
    </row>
    <row r="98" spans="1:34" ht="18" hidden="1" customHeight="1">
      <c r="A98" s="329"/>
      <c r="C98" s="326" t="str">
        <f>"주연료(경유) = 3.1 x "&amp;FIXED('중기사용료--'!$N$1,0)&amp;" x "&amp;AH91&amp;"/0.7/60  =  "&amp;FIXED(AH98,0)&amp;"(원/hr)"</f>
        <v>주연료(경유) = 3.1 x 1,355 x 33/0.7/60  =  3,300(원/hr)</v>
      </c>
      <c r="AD98" s="330"/>
      <c r="AH98" s="335">
        <f>INT(3.1*'중기사용료--'!$N$1*AH90)</f>
        <v>3300</v>
      </c>
    </row>
    <row r="99" spans="1:34" ht="18" hidden="1" customHeight="1">
      <c r="A99" s="329"/>
      <c r="C99" s="326" t="str">
        <f>"잡유(주연료의 20%) =  "&amp;FIXED(AH98,0)&amp;"  x 0.2  =  "&amp;FIXED(AH99,0)&amp;"(원/hr)"</f>
        <v>잡유(주연료의 20%) =  3,300  x 0.2  =  660(원/hr)</v>
      </c>
      <c r="AD99" s="330"/>
      <c r="AH99" s="335">
        <f>INT(AH98*0.2)</f>
        <v>660</v>
      </c>
    </row>
    <row r="100" spans="1:34" ht="18" hidden="1" customHeight="1">
      <c r="A100" s="329"/>
      <c r="C100" s="326" t="str">
        <f>"소    계  =  "&amp;FIXED(AH98,0)&amp;"  +  "&amp;FIXED(AH99,0)&amp;"  =  "&amp;FIXED(AH100,0)&amp;"(원/hr)"</f>
        <v>소    계  =  3,300  +  660  =  3,960(원/hr)</v>
      </c>
      <c r="AD100" s="330"/>
      <c r="AH100" s="336">
        <f>SUM(AH98:AH99)</f>
        <v>3960</v>
      </c>
    </row>
    <row r="101" spans="1:34" ht="18" hidden="1" customHeight="1">
      <c r="A101" s="329"/>
      <c r="AD101" s="330"/>
    </row>
    <row r="102" spans="1:34" ht="18" hidden="1" customHeight="1">
      <c r="A102" s="329"/>
      <c r="B102" s="326" t="s">
        <v>75</v>
      </c>
      <c r="AD102" s="330"/>
    </row>
    <row r="103" spans="1:34" ht="18" hidden="1" customHeight="1">
      <c r="A103" s="329"/>
      <c r="B103" s="326" t="s">
        <v>76</v>
      </c>
      <c r="C103" s="326" t="str">
        <f>"조 종 원 = "&amp;FIXED('중기사용료--'!$N$11,0)&amp;"  x "&amp;AH91&amp;"/0.7/60  =  "&amp;FIXED(AH103,0)&amp;"(원/hr)"</f>
        <v>조 종 원 = 176,227  x 33/0.7/60  =  28,838(원/hr)</v>
      </c>
      <c r="AD103" s="330"/>
      <c r="AH103" s="335">
        <f>INT('중기사용료--'!$V$11*AH90)</f>
        <v>28838</v>
      </c>
    </row>
    <row r="104" spans="1:34" ht="18" hidden="1" customHeight="1">
      <c r="A104" s="329"/>
      <c r="B104" s="326" t="s">
        <v>76</v>
      </c>
      <c r="C104" s="326" t="str">
        <f>"소    계  =  "&amp;FIXED(AH103,0)&amp;"    =  "&amp;FIXED(AH104,0)&amp;"(원/본)"</f>
        <v>소    계  =  28,838    =  28,838(원/본)</v>
      </c>
      <c r="AD104" s="330"/>
      <c r="AH104" s="337">
        <f>SUM(AH103:AH103)</f>
        <v>28838</v>
      </c>
    </row>
    <row r="105" spans="1:34" ht="15" hidden="1" customHeight="1">
      <c r="A105" s="329"/>
      <c r="B105" s="326" t="s">
        <v>174</v>
      </c>
      <c r="AD105" s="330"/>
    </row>
    <row r="106" spans="1:34" ht="15" hidden="1" customHeight="1">
      <c r="A106" s="329"/>
      <c r="AD106" s="330"/>
    </row>
    <row r="107" spans="1:34" ht="15" hidden="1" customHeight="1">
      <c r="A107" s="329"/>
      <c r="C107" s="326" t="str">
        <f>"재료비 =     "&amp;FIXED(AH107,0)&amp;"원"</f>
        <v>재료비 =     3,960원</v>
      </c>
      <c r="AD107" s="330"/>
      <c r="AH107" s="335">
        <f>AH100</f>
        <v>3960</v>
      </c>
    </row>
    <row r="108" spans="1:34" ht="15" hidden="1" customHeight="1">
      <c r="A108" s="329"/>
      <c r="C108" s="326" t="str">
        <f>"노무비 =    "&amp;FIXED(AH108,0)&amp;"원"</f>
        <v>노무비 =    28,838원</v>
      </c>
      <c r="AD108" s="330"/>
      <c r="AH108" s="335">
        <f>AH104</f>
        <v>28838</v>
      </c>
    </row>
    <row r="109" spans="1:34" ht="15" hidden="1" customHeight="1">
      <c r="A109" s="329"/>
      <c r="C109" s="326" t="str">
        <f>"경  비 =     "&amp;FIXED(AH109,0)&amp;"원"</f>
        <v>경  비 =     8,607원</v>
      </c>
      <c r="AD109" s="330"/>
      <c r="AH109" s="335">
        <f>AH94</f>
        <v>8607</v>
      </c>
    </row>
    <row r="110" spans="1:34" ht="15" hidden="1" customHeight="1">
      <c r="A110" s="329"/>
      <c r="AD110" s="330"/>
      <c r="AH110" s="335"/>
    </row>
    <row r="111" spans="1:34" hidden="1">
      <c r="A111" s="327"/>
      <c r="B111" s="209"/>
      <c r="C111" s="209"/>
      <c r="D111" s="209"/>
      <c r="E111" s="209"/>
      <c r="F111" s="209"/>
      <c r="G111" s="209"/>
      <c r="H111" s="209"/>
      <c r="I111" s="209"/>
      <c r="J111" s="209"/>
      <c r="K111" s="209"/>
      <c r="L111" s="209"/>
      <c r="M111" s="209"/>
      <c r="N111" s="209"/>
      <c r="O111" s="209"/>
      <c r="P111" s="209"/>
      <c r="Q111" s="209"/>
      <c r="R111" s="209"/>
      <c r="S111" s="209"/>
      <c r="T111" s="209"/>
      <c r="U111" s="209"/>
      <c r="V111" s="209"/>
      <c r="W111" s="209"/>
      <c r="X111" s="209"/>
      <c r="Y111" s="209"/>
      <c r="Z111" s="209"/>
      <c r="AA111" s="209"/>
      <c r="AB111" s="209"/>
      <c r="AC111" s="209"/>
      <c r="AD111" s="328"/>
    </row>
    <row r="112" spans="1:34" ht="26.1" hidden="1" customHeight="1">
      <c r="A112" s="323" t="s">
        <v>182</v>
      </c>
      <c r="B112" s="324"/>
      <c r="C112" s="324"/>
      <c r="D112" s="324"/>
      <c r="E112" s="324"/>
      <c r="F112" s="324"/>
      <c r="G112" s="324"/>
      <c r="H112" s="324"/>
      <c r="I112" s="324"/>
      <c r="J112" s="324"/>
      <c r="K112" s="324"/>
      <c r="L112" s="324"/>
      <c r="M112" s="324"/>
      <c r="N112" s="324"/>
      <c r="O112" s="324"/>
      <c r="P112" s="324"/>
      <c r="Q112" s="324"/>
      <c r="R112" s="324"/>
      <c r="S112" s="324"/>
      <c r="T112" s="324"/>
      <c r="U112" s="324"/>
      <c r="V112" s="324"/>
      <c r="W112" s="324"/>
      <c r="X112" s="324"/>
      <c r="Y112" s="324"/>
      <c r="Z112" s="324"/>
      <c r="AA112" s="324"/>
      <c r="AB112" s="324"/>
      <c r="AC112" s="324"/>
      <c r="AD112" s="325"/>
    </row>
    <row r="113" spans="1:34" ht="26.1" hidden="1" customHeight="1">
      <c r="A113" s="327"/>
      <c r="B113" s="209" t="s">
        <v>969</v>
      </c>
      <c r="C113" s="209"/>
      <c r="D113" s="209"/>
      <c r="E113" s="209"/>
      <c r="F113" s="209"/>
      <c r="G113" s="209"/>
      <c r="H113" s="209"/>
      <c r="I113" s="209"/>
      <c r="J113" s="209"/>
      <c r="K113" s="209"/>
      <c r="L113" s="209"/>
      <c r="M113" s="209"/>
      <c r="N113" s="209"/>
      <c r="O113" s="209"/>
      <c r="P113" s="209"/>
      <c r="Q113" s="209"/>
      <c r="R113" s="209"/>
      <c r="S113" s="209"/>
      <c r="T113" s="209"/>
      <c r="U113" s="209"/>
      <c r="V113" s="209"/>
      <c r="W113" s="209"/>
      <c r="X113" s="209"/>
      <c r="Y113" s="209"/>
      <c r="Z113" s="209"/>
      <c r="AA113" s="209"/>
      <c r="AB113" s="209"/>
      <c r="AC113" s="209"/>
      <c r="AD113" s="328"/>
    </row>
    <row r="114" spans="1:34" ht="18" hidden="1" customHeight="1">
      <c r="A114" s="329"/>
      <c r="AD114" s="330"/>
    </row>
    <row r="115" spans="1:34" ht="18" hidden="1" customHeight="1">
      <c r="A115" s="329" t="s">
        <v>177</v>
      </c>
      <c r="AD115" s="330"/>
    </row>
    <row r="116" spans="1:34" ht="18" hidden="1" customHeight="1">
      <c r="A116" s="329"/>
      <c r="C116" s="326" t="str">
        <f>"    T = Tc / F = "&amp;AH118&amp;" / 0.7 = "&amp;FIXED(AH116,2)&amp;"(분/본)"</f>
        <v xml:space="preserve">    T = Tc / F = 39 / 0.7 = 55.71(분/본)</v>
      </c>
      <c r="AD116" s="330"/>
      <c r="AH116" s="326">
        <f>ROUNDDOWN((AH118/0.7),2)</f>
        <v>55.71</v>
      </c>
    </row>
    <row r="117" spans="1:34" ht="18" hidden="1" customHeight="1">
      <c r="A117" s="329"/>
      <c r="C117" s="326" t="s">
        <v>178</v>
      </c>
      <c r="AD117" s="330"/>
      <c r="AH117" s="326">
        <f>ROUNDDOWN((AH118/0.7/60),6)</f>
        <v>0.92857100000000004</v>
      </c>
    </row>
    <row r="118" spans="1:34" ht="18" hidden="1" customHeight="1">
      <c r="A118" s="329"/>
      <c r="C118" s="326" t="s">
        <v>970</v>
      </c>
      <c r="AD118" s="330"/>
      <c r="AH118" s="326">
        <f>60*0.65</f>
        <v>39</v>
      </c>
    </row>
    <row r="119" spans="1:34" ht="18" hidden="1" customHeight="1">
      <c r="A119" s="329" t="s">
        <v>180</v>
      </c>
      <c r="C119" s="326" t="s">
        <v>181</v>
      </c>
      <c r="AD119" s="330"/>
    </row>
    <row r="120" spans="1:34" ht="18" hidden="1" customHeight="1">
      <c r="A120" s="329"/>
      <c r="AD120" s="330"/>
      <c r="AH120" s="335">
        <v>32107000</v>
      </c>
    </row>
    <row r="121" spans="1:34" ht="18" hidden="1" customHeight="1">
      <c r="A121" s="329"/>
      <c r="B121" s="326" t="str">
        <f>"2. 기계손료 =  "&amp;FIXED(AH120,0)&amp;"  ×3,412 ×10-7×"&amp;FIXED(AH118,0)&amp;" / 0.7 / 60 =  "&amp;FIXED(AH121,0)&amp;"(원/본)"</f>
        <v>2. 기계손료 =  32,107,000  ×3,412 ×10-7×39 / 0.7 / 60 =  10,172(원/본)</v>
      </c>
      <c r="AD121" s="330"/>
      <c r="AH121" s="336">
        <f>INT(AH120*3412*10^-7*AH117)</f>
        <v>10172</v>
      </c>
    </row>
    <row r="122" spans="1:34" ht="18" hidden="1" customHeight="1">
      <c r="A122" s="329"/>
      <c r="AD122" s="330"/>
    </row>
    <row r="123" spans="1:34" ht="18" hidden="1" customHeight="1">
      <c r="A123" s="329"/>
      <c r="B123" s="326" t="s">
        <v>72</v>
      </c>
      <c r="AD123" s="330"/>
    </row>
    <row r="124" spans="1:34" ht="18" hidden="1" customHeight="1">
      <c r="A124" s="329"/>
      <c r="B124" s="326" t="s">
        <v>73</v>
      </c>
      <c r="AD124" s="330"/>
    </row>
    <row r="125" spans="1:34" ht="18" hidden="1" customHeight="1">
      <c r="A125" s="329"/>
      <c r="C125" s="326" t="str">
        <f>"주연료(경유) = 3.1 x "&amp;FIXED('중기사용료--'!$N$1,0)&amp;" x "&amp;AH118&amp;"/0.7/60  =  "&amp;FIXED(AH125,0)&amp;"(원/hr)"</f>
        <v>주연료(경유) = 3.1 x 1,355 x 39/0.7/60  =  3,900(원/hr)</v>
      </c>
      <c r="AD125" s="330"/>
      <c r="AH125" s="335">
        <f>INT(3.1*'중기사용료--'!$N$1*AH117)</f>
        <v>3900</v>
      </c>
    </row>
    <row r="126" spans="1:34" ht="18" hidden="1" customHeight="1">
      <c r="A126" s="329"/>
      <c r="C126" s="326" t="str">
        <f>"잡유(주연료의 20%) =  "&amp;FIXED(AH125,0)&amp;"  x 0.2  =  "&amp;FIXED(AH126,0)&amp;"(원/hr)"</f>
        <v>잡유(주연료의 20%) =  3,900  x 0.2  =  780(원/hr)</v>
      </c>
      <c r="AD126" s="330"/>
      <c r="AH126" s="335">
        <f>INT(AH125*0.2)</f>
        <v>780</v>
      </c>
    </row>
    <row r="127" spans="1:34" ht="18" hidden="1" customHeight="1">
      <c r="A127" s="329"/>
      <c r="C127" s="326" t="str">
        <f>"소    계  =  "&amp;FIXED(AH125,0)&amp;"  +  "&amp;FIXED(AH126,0)&amp;"  =  "&amp;FIXED(AH127,0)&amp;"(원/hr)"</f>
        <v>소    계  =  3,900  +  780  =  4,680(원/hr)</v>
      </c>
      <c r="AD127" s="330"/>
      <c r="AH127" s="336">
        <f>SUM(AH125:AH126)</f>
        <v>4680</v>
      </c>
    </row>
    <row r="128" spans="1:34" ht="18" hidden="1" customHeight="1">
      <c r="A128" s="329"/>
      <c r="AD128" s="330"/>
    </row>
    <row r="129" spans="1:34" ht="18" hidden="1" customHeight="1">
      <c r="A129" s="329"/>
      <c r="B129" s="326" t="s">
        <v>75</v>
      </c>
      <c r="AD129" s="330"/>
    </row>
    <row r="130" spans="1:34" ht="18" hidden="1" customHeight="1">
      <c r="A130" s="329"/>
      <c r="B130" s="326" t="s">
        <v>76</v>
      </c>
      <c r="C130" s="326" t="str">
        <f>"조 종 원 = "&amp;FIXED('중기사용료--'!$N$11,0)&amp;"  x "&amp;AH118&amp;"/0.7/60  =  "&amp;FIXED(AH130,0)&amp;"(원/hr)"</f>
        <v>조 종 원 = 176,227  x 39/0.7/60  =  34,082(원/hr)</v>
      </c>
      <c r="AD130" s="330"/>
      <c r="AH130" s="335">
        <f>INT('중기사용료--'!$V$11*AH117)</f>
        <v>34082</v>
      </c>
    </row>
    <row r="131" spans="1:34" ht="18" hidden="1" customHeight="1">
      <c r="A131" s="329"/>
      <c r="B131" s="326" t="s">
        <v>76</v>
      </c>
      <c r="AD131" s="330"/>
    </row>
    <row r="132" spans="1:34" ht="18" hidden="1" customHeight="1">
      <c r="A132" s="329"/>
      <c r="B132" s="326" t="s">
        <v>76</v>
      </c>
      <c r="AD132" s="330"/>
      <c r="AH132" s="337">
        <f>SUM(AH130:AH131)</f>
        <v>34082</v>
      </c>
    </row>
    <row r="133" spans="1:34" ht="15" hidden="1" customHeight="1">
      <c r="A133" s="329"/>
      <c r="B133" s="326" t="s">
        <v>174</v>
      </c>
      <c r="AD133" s="330"/>
    </row>
    <row r="134" spans="1:34" ht="15" hidden="1" customHeight="1">
      <c r="A134" s="329"/>
      <c r="AD134" s="330"/>
    </row>
    <row r="135" spans="1:34" ht="15" hidden="1" customHeight="1">
      <c r="A135" s="329"/>
      <c r="C135" s="326" t="str">
        <f>"재료비 =     "&amp;FIXED(AH135,0)&amp;"원"</f>
        <v>재료비 =     4,680원</v>
      </c>
      <c r="AD135" s="330"/>
      <c r="AH135" s="335">
        <f>AH127</f>
        <v>4680</v>
      </c>
    </row>
    <row r="136" spans="1:34" ht="15" hidden="1" customHeight="1">
      <c r="A136" s="329"/>
      <c r="C136" s="326" t="str">
        <f>"노무비 =    "&amp;FIXED(AH136,0)&amp;"원"</f>
        <v>노무비 =    34,082원</v>
      </c>
      <c r="AD136" s="330"/>
      <c r="AH136" s="335">
        <f>AH132</f>
        <v>34082</v>
      </c>
    </row>
    <row r="137" spans="1:34" ht="15" hidden="1" customHeight="1">
      <c r="A137" s="329"/>
      <c r="C137" s="326" t="str">
        <f>"경  비 =     "&amp;FIXED(AH137,0)&amp;"원"</f>
        <v>경  비 =     10,172원</v>
      </c>
      <c r="AD137" s="330"/>
      <c r="AH137" s="335">
        <f>AH121</f>
        <v>10172</v>
      </c>
    </row>
    <row r="138" spans="1:34" ht="15" hidden="1" customHeight="1">
      <c r="A138" s="329"/>
      <c r="AD138" s="330"/>
      <c r="AH138" s="335"/>
    </row>
    <row r="139" spans="1:34" hidden="1">
      <c r="A139" s="327"/>
      <c r="B139" s="209"/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09"/>
      <c r="O139" s="209"/>
      <c r="P139" s="209"/>
      <c r="Q139" s="209"/>
      <c r="R139" s="209"/>
      <c r="S139" s="209"/>
      <c r="T139" s="209"/>
      <c r="U139" s="209"/>
      <c r="V139" s="209"/>
      <c r="W139" s="209"/>
      <c r="X139" s="209"/>
      <c r="Y139" s="209"/>
      <c r="Z139" s="209"/>
      <c r="AA139" s="209"/>
      <c r="AB139" s="209"/>
      <c r="AC139" s="209"/>
      <c r="AD139" s="328"/>
    </row>
    <row r="140" spans="1:34" ht="18" customHeight="1">
      <c r="A140" s="323" t="s">
        <v>1366</v>
      </c>
      <c r="B140" s="324"/>
      <c r="C140" s="324"/>
      <c r="D140" s="324"/>
      <c r="E140" s="324"/>
      <c r="F140" s="324"/>
      <c r="G140" s="324"/>
      <c r="H140" s="324"/>
      <c r="I140" s="324"/>
      <c r="J140" s="324"/>
      <c r="K140" s="324"/>
      <c r="L140" s="324"/>
      <c r="M140" s="324"/>
      <c r="N140" s="324"/>
      <c r="O140" s="324"/>
      <c r="P140" s="324"/>
      <c r="Q140" s="324"/>
      <c r="R140" s="324"/>
      <c r="S140" s="324"/>
      <c r="T140" s="324"/>
      <c r="U140" s="324"/>
      <c r="V140" s="324"/>
      <c r="W140" s="324"/>
      <c r="X140" s="324"/>
      <c r="Y140" s="324"/>
      <c r="Z140" s="324"/>
      <c r="AA140" s="324"/>
      <c r="AB140" s="324"/>
      <c r="AC140" s="324"/>
      <c r="AD140" s="325"/>
    </row>
    <row r="141" spans="1:34" ht="18" customHeight="1">
      <c r="A141" s="327" t="s">
        <v>40</v>
      </c>
      <c r="B141" s="209"/>
      <c r="C141" s="209"/>
      <c r="D141" s="209"/>
      <c r="E141" s="209"/>
      <c r="F141" s="209"/>
      <c r="G141" s="209"/>
      <c r="H141" s="209"/>
      <c r="I141" s="209"/>
      <c r="J141" s="209"/>
      <c r="K141" s="209"/>
      <c r="L141" s="209"/>
      <c r="M141" s="209"/>
      <c r="N141" s="209"/>
      <c r="O141" s="209"/>
      <c r="P141" s="209"/>
      <c r="Q141" s="209"/>
      <c r="R141" s="209"/>
      <c r="S141" s="209"/>
      <c r="T141" s="209"/>
      <c r="U141" s="209"/>
      <c r="V141" s="209"/>
      <c r="W141" s="209"/>
      <c r="X141" s="209"/>
      <c r="Y141" s="209"/>
      <c r="Z141" s="209"/>
      <c r="AA141" s="209"/>
      <c r="AB141" s="209"/>
      <c r="AC141" s="209"/>
      <c r="AD141" s="328"/>
    </row>
    <row r="142" spans="1:34" ht="18" customHeight="1">
      <c r="A142" s="329"/>
      <c r="AD142" s="330"/>
    </row>
    <row r="143" spans="1:34" ht="18" customHeight="1">
      <c r="A143" s="329" t="s">
        <v>477</v>
      </c>
      <c r="B143" s="326" t="s">
        <v>41</v>
      </c>
      <c r="AD143" s="330"/>
    </row>
    <row r="144" spans="1:34" ht="18" customHeight="1">
      <c r="A144" s="329"/>
      <c r="B144" s="326" t="s">
        <v>1367</v>
      </c>
      <c r="AD144" s="330"/>
    </row>
    <row r="145" spans="1:34" ht="18" customHeight="1">
      <c r="A145" s="329"/>
      <c r="B145" s="326" t="s">
        <v>1368</v>
      </c>
      <c r="AD145" s="330"/>
    </row>
    <row r="146" spans="1:34" ht="18" customHeight="1">
      <c r="A146" s="329" t="s">
        <v>44</v>
      </c>
      <c r="B146" s="326" t="s">
        <v>1369</v>
      </c>
      <c r="AD146" s="330"/>
    </row>
    <row r="147" spans="1:34">
      <c r="A147" s="329" t="s">
        <v>46</v>
      </c>
      <c r="B147" s="326" t="s">
        <v>1370</v>
      </c>
      <c r="AD147" s="330"/>
    </row>
    <row r="148" spans="1:34">
      <c r="A148" s="329"/>
      <c r="B148" s="326" t="s">
        <v>1371</v>
      </c>
      <c r="AD148" s="330"/>
      <c r="AH148" s="326">
        <f>ROUND(((3600*0.2*0.55*1*0.35)/18),2)</f>
        <v>7.7</v>
      </c>
    </row>
    <row r="149" spans="1:34">
      <c r="A149" s="329"/>
      <c r="AD149" s="330"/>
    </row>
    <row r="150" spans="1:34">
      <c r="A150" s="329"/>
      <c r="C150" s="326" t="s">
        <v>1372</v>
      </c>
      <c r="E150" s="638">
        <f>'[1]중기사용료--'!G14</f>
        <v>8016</v>
      </c>
      <c r="F150" s="638"/>
      <c r="G150" s="638"/>
      <c r="H150" s="326" t="s">
        <v>1373</v>
      </c>
      <c r="I150" s="639">
        <f>AH148</f>
        <v>7.7</v>
      </c>
      <c r="J150" s="639"/>
      <c r="K150" s="326" t="s">
        <v>1374</v>
      </c>
      <c r="L150" s="640">
        <f>INT(E150/I150)</f>
        <v>1041</v>
      </c>
      <c r="M150" s="640"/>
      <c r="N150" s="640"/>
      <c r="AD150" s="330"/>
    </row>
    <row r="151" spans="1:34">
      <c r="A151" s="329"/>
      <c r="C151" s="326" t="s">
        <v>1375</v>
      </c>
      <c r="E151" s="638">
        <f>'[1]중기사용료--'!G20</f>
        <v>42257</v>
      </c>
      <c r="F151" s="638"/>
      <c r="G151" s="638"/>
      <c r="H151" s="326" t="s">
        <v>1373</v>
      </c>
      <c r="I151" s="639">
        <f>AH148</f>
        <v>7.7</v>
      </c>
      <c r="J151" s="639"/>
      <c r="K151" s="326" t="s">
        <v>1374</v>
      </c>
      <c r="L151" s="640">
        <f>INT(E151/I151)</f>
        <v>5487</v>
      </c>
      <c r="M151" s="640"/>
      <c r="N151" s="640"/>
      <c r="AD151" s="330"/>
    </row>
    <row r="152" spans="1:34">
      <c r="A152" s="329"/>
      <c r="B152" s="331"/>
      <c r="C152" s="326" t="s">
        <v>1376</v>
      </c>
      <c r="E152" s="638">
        <f>'[1]중기사용료--'!G9</f>
        <v>12464</v>
      </c>
      <c r="F152" s="638"/>
      <c r="G152" s="638"/>
      <c r="H152" s="326" t="s">
        <v>1373</v>
      </c>
      <c r="I152" s="639">
        <f>AH148</f>
        <v>7.7</v>
      </c>
      <c r="J152" s="639"/>
      <c r="K152" s="326" t="s">
        <v>1374</v>
      </c>
      <c r="L152" s="640">
        <f>INT(E152/I152)</f>
        <v>1618</v>
      </c>
      <c r="M152" s="640"/>
      <c r="N152" s="640"/>
      <c r="AD152" s="330"/>
    </row>
    <row r="153" spans="1:34">
      <c r="A153" s="329"/>
      <c r="B153" s="331"/>
      <c r="C153" s="332" t="s">
        <v>1377</v>
      </c>
      <c r="AD153" s="330"/>
    </row>
    <row r="154" spans="1:34">
      <c r="A154" s="329"/>
      <c r="B154" s="331"/>
      <c r="C154" s="326" t="s">
        <v>1378</v>
      </c>
      <c r="L154" s="640">
        <f>SUM(L150:N153)</f>
        <v>8146</v>
      </c>
      <c r="M154" s="640"/>
      <c r="N154" s="640"/>
      <c r="AD154" s="330"/>
    </row>
    <row r="155" spans="1:34">
      <c r="A155" s="329"/>
      <c r="AD155" s="330"/>
    </row>
    <row r="156" spans="1:34">
      <c r="A156" s="329"/>
      <c r="AD156" s="330"/>
    </row>
    <row r="157" spans="1:34">
      <c r="A157" s="329" t="s">
        <v>54</v>
      </c>
      <c r="AD157" s="330"/>
    </row>
    <row r="158" spans="1:34">
      <c r="A158" s="329"/>
      <c r="AD158" s="330"/>
    </row>
    <row r="159" spans="1:34">
      <c r="A159" s="329"/>
      <c r="AD159" s="330"/>
    </row>
    <row r="160" spans="1:34">
      <c r="A160" s="329"/>
      <c r="AD160" s="330"/>
    </row>
    <row r="161" spans="1:30">
      <c r="A161" s="329"/>
      <c r="AD161" s="330"/>
    </row>
    <row r="162" spans="1:30">
      <c r="A162" s="329"/>
      <c r="AD162" s="330"/>
    </row>
    <row r="163" spans="1:30">
      <c r="A163" s="329"/>
      <c r="AD163" s="330"/>
    </row>
    <row r="164" spans="1:30">
      <c r="A164" s="329"/>
      <c r="AD164" s="330"/>
    </row>
  </sheetData>
  <mergeCells count="30">
    <mergeCell ref="E38:G38"/>
    <mergeCell ref="I38:J38"/>
    <mergeCell ref="L38:N38"/>
    <mergeCell ref="L41:N41"/>
    <mergeCell ref="E39:G39"/>
    <mergeCell ref="I39:J39"/>
    <mergeCell ref="L39:N39"/>
    <mergeCell ref="E37:G37"/>
    <mergeCell ref="I37:J37"/>
    <mergeCell ref="L37:N37"/>
    <mergeCell ref="E12:G12"/>
    <mergeCell ref="I12:J12"/>
    <mergeCell ref="L12:N12"/>
    <mergeCell ref="L15:N15"/>
    <mergeCell ref="E11:G11"/>
    <mergeCell ref="I11:J11"/>
    <mergeCell ref="L11:N11"/>
    <mergeCell ref="E13:G13"/>
    <mergeCell ref="I13:J13"/>
    <mergeCell ref="L13:N13"/>
    <mergeCell ref="E152:G152"/>
    <mergeCell ref="I152:J152"/>
    <mergeCell ref="L152:N152"/>
    <mergeCell ref="L154:N154"/>
    <mergeCell ref="E150:G150"/>
    <mergeCell ref="I150:J150"/>
    <mergeCell ref="L150:N150"/>
    <mergeCell ref="E151:G151"/>
    <mergeCell ref="I151:J151"/>
    <mergeCell ref="L151:N151"/>
  </mergeCells>
  <phoneticPr fontId="4" type="noConversion"/>
  <printOptions horizontalCentered="1"/>
  <pageMargins left="0.59055118110236227" right="0.19685039370078741" top="0.78" bottom="0.46" header="0.51181102362204722" footer="0.31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20"/>
  <sheetViews>
    <sheetView showZeros="0" view="pageBreakPreview" workbookViewId="0">
      <selection activeCell="A11" sqref="A11:M11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279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S113"/>
  <sheetViews>
    <sheetView showZeros="0" view="pageBreakPreview" zoomScaleNormal="115" workbookViewId="0">
      <pane ySplit="2" topLeftCell="A3" activePane="bottomLeft" state="frozen"/>
      <selection activeCell="A11" sqref="A11:M11"/>
      <selection pane="bottomLeft" activeCell="A11" sqref="A11:M11"/>
    </sheetView>
  </sheetViews>
  <sheetFormatPr defaultColWidth="8" defaultRowHeight="11.25"/>
  <cols>
    <col min="1" max="1" width="7.21875" style="284" customWidth="1"/>
    <col min="2" max="2" width="17.6640625" style="284" customWidth="1"/>
    <col min="3" max="3" width="16.88671875" style="284" customWidth="1"/>
    <col min="4" max="4" width="4.5546875" style="285" customWidth="1"/>
    <col min="5" max="5" width="6" style="286" customWidth="1"/>
    <col min="6" max="17" width="5.21875" style="287" customWidth="1"/>
    <col min="18" max="18" width="6" style="287" customWidth="1"/>
    <col min="19" max="16384" width="8" style="288"/>
  </cols>
  <sheetData>
    <row r="1" spans="1:19" s="276" customFormat="1" ht="23.1" customHeight="1">
      <c r="A1" s="622" t="s">
        <v>281</v>
      </c>
      <c r="B1" s="642" t="s">
        <v>282</v>
      </c>
      <c r="C1" s="642" t="s">
        <v>283</v>
      </c>
      <c r="D1" s="642" t="s">
        <v>284</v>
      </c>
      <c r="E1" s="645" t="s">
        <v>285</v>
      </c>
      <c r="F1" s="647" t="s">
        <v>286</v>
      </c>
      <c r="G1" s="648"/>
      <c r="H1" s="641" t="s">
        <v>287</v>
      </c>
      <c r="I1" s="649"/>
      <c r="J1" s="641" t="s">
        <v>288</v>
      </c>
      <c r="K1" s="641"/>
      <c r="L1" s="641" t="s">
        <v>289</v>
      </c>
      <c r="M1" s="641"/>
      <c r="N1" s="641" t="s">
        <v>119</v>
      </c>
      <c r="O1" s="641"/>
      <c r="P1" s="641" t="s">
        <v>290</v>
      </c>
      <c r="Q1" s="641"/>
      <c r="R1" s="642" t="s">
        <v>291</v>
      </c>
    </row>
    <row r="2" spans="1:19" s="276" customFormat="1" ht="23.1" customHeight="1">
      <c r="A2" s="623"/>
      <c r="B2" s="643"/>
      <c r="C2" s="643"/>
      <c r="D2" s="644"/>
      <c r="E2" s="644"/>
      <c r="F2" s="277" t="s">
        <v>292</v>
      </c>
      <c r="G2" s="278" t="s">
        <v>293</v>
      </c>
      <c r="H2" s="277" t="s">
        <v>292</v>
      </c>
      <c r="I2" s="278" t="s">
        <v>294</v>
      </c>
      <c r="J2" s="277" t="s">
        <v>292</v>
      </c>
      <c r="K2" s="278" t="s">
        <v>294</v>
      </c>
      <c r="L2" s="277" t="s">
        <v>292</v>
      </c>
      <c r="M2" s="278" t="s">
        <v>294</v>
      </c>
      <c r="N2" s="277" t="s">
        <v>292</v>
      </c>
      <c r="O2" s="278" t="s">
        <v>294</v>
      </c>
      <c r="P2" s="277" t="s">
        <v>292</v>
      </c>
      <c r="Q2" s="278" t="s">
        <v>294</v>
      </c>
      <c r="R2" s="646"/>
    </row>
    <row r="3" spans="1:19" s="279" customFormat="1" ht="23.1" customHeight="1">
      <c r="A3" s="58" t="e">
        <f>전기일위!#REF!+1</f>
        <v>#REF!</v>
      </c>
      <c r="B3" s="176" t="s">
        <v>997</v>
      </c>
      <c r="C3" s="289" t="s">
        <v>1018</v>
      </c>
      <c r="D3" s="485" t="s">
        <v>273</v>
      </c>
      <c r="E3" s="110"/>
      <c r="F3" s="110"/>
      <c r="G3" s="110"/>
      <c r="H3" s="110"/>
      <c r="I3" s="110"/>
      <c r="J3" s="110"/>
      <c r="K3" s="110"/>
      <c r="L3" s="72"/>
      <c r="M3" s="72"/>
      <c r="N3" s="72"/>
      <c r="O3" s="72"/>
      <c r="P3" s="72"/>
      <c r="Q3" s="72"/>
      <c r="R3" s="72"/>
    </row>
    <row r="4" spans="1:19" s="279" customFormat="1" ht="23.1" customHeight="1">
      <c r="A4" s="63"/>
      <c r="B4" s="110" t="s">
        <v>120</v>
      </c>
      <c r="C4" s="110" t="s">
        <v>1021</v>
      </c>
      <c r="D4" s="118" t="s">
        <v>89</v>
      </c>
      <c r="E4" s="110">
        <v>1</v>
      </c>
      <c r="F4" s="110">
        <f>0.36*1.3</f>
        <v>0.46799999999999997</v>
      </c>
      <c r="G4" s="110">
        <f>ROUNDDOWN(($E4*F4),4)</f>
        <v>0.46800000000000003</v>
      </c>
      <c r="H4" s="110"/>
      <c r="I4" s="110">
        <f>ROUNDDOWN(($E4*H4),4)</f>
        <v>0</v>
      </c>
      <c r="J4" s="110"/>
      <c r="K4" s="110">
        <f>ROUNDDOWN(($E4*J4),4)</f>
        <v>0</v>
      </c>
      <c r="L4" s="72"/>
      <c r="M4" s="72">
        <f>ROUNDDOWN(($E4*L4),4)</f>
        <v>0</v>
      </c>
      <c r="N4" s="72"/>
      <c r="O4" s="72">
        <f>ROUNDDOWN(($E4*N4),4)</f>
        <v>0</v>
      </c>
      <c r="P4" s="72"/>
      <c r="Q4" s="72"/>
      <c r="R4" s="72" t="s">
        <v>1000</v>
      </c>
    </row>
    <row r="5" spans="1:19" s="279" customFormat="1" ht="23.1" customHeight="1">
      <c r="A5" s="72"/>
      <c r="B5" s="110" t="s">
        <v>998</v>
      </c>
      <c r="C5" s="110" t="s">
        <v>1019</v>
      </c>
      <c r="D5" s="118" t="s">
        <v>89</v>
      </c>
      <c r="E5" s="110">
        <v>1</v>
      </c>
      <c r="F5" s="110">
        <f>0.26*1.3*0.5</f>
        <v>0.16900000000000001</v>
      </c>
      <c r="G5" s="110">
        <f>ROUNDDOWN(($E5*F5),4)</f>
        <v>0.16900000000000001</v>
      </c>
      <c r="H5" s="110"/>
      <c r="I5" s="110"/>
      <c r="J5" s="110"/>
      <c r="K5" s="110"/>
      <c r="L5" s="72"/>
      <c r="M5" s="72"/>
      <c r="N5" s="72"/>
      <c r="O5" s="72"/>
      <c r="P5" s="72"/>
      <c r="Q5" s="72"/>
      <c r="R5" s="72" t="s">
        <v>1000</v>
      </c>
      <c r="S5" s="72"/>
    </row>
    <row r="6" spans="1:19" s="279" customFormat="1" ht="23.1" customHeight="1">
      <c r="A6" s="72"/>
      <c r="B6" s="110" t="s">
        <v>998</v>
      </c>
      <c r="C6" s="110" t="s">
        <v>1020</v>
      </c>
      <c r="D6" s="118" t="s">
        <v>89</v>
      </c>
      <c r="E6" s="110">
        <v>1</v>
      </c>
      <c r="F6" s="110">
        <f>0.26*1.3*0.5</f>
        <v>0.16900000000000001</v>
      </c>
      <c r="G6" s="110">
        <f>ROUNDDOWN(($E6*F6),4)</f>
        <v>0.16900000000000001</v>
      </c>
      <c r="H6" s="110"/>
      <c r="I6" s="110"/>
      <c r="J6" s="110"/>
      <c r="K6" s="110"/>
      <c r="L6" s="72"/>
      <c r="M6" s="72"/>
      <c r="N6" s="72"/>
      <c r="O6" s="72"/>
      <c r="P6" s="72"/>
      <c r="Q6" s="72"/>
      <c r="R6" s="72" t="s">
        <v>1000</v>
      </c>
      <c r="S6" s="72"/>
    </row>
    <row r="7" spans="1:19" s="279" customFormat="1" ht="23.1" customHeight="1">
      <c r="A7" s="72"/>
      <c r="B7" s="72"/>
      <c r="C7" s="72"/>
      <c r="D7" s="280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9" s="279" customFormat="1" ht="23.1" customHeight="1">
      <c r="A8" s="72"/>
      <c r="B8" s="72" t="s">
        <v>295</v>
      </c>
      <c r="C8" s="72"/>
      <c r="D8" s="280"/>
      <c r="E8" s="72"/>
      <c r="F8" s="72"/>
      <c r="G8" s="72">
        <f>ROUNDDOWN(SUM(G4:G7),1)</f>
        <v>0.8</v>
      </c>
      <c r="H8" s="72"/>
      <c r="I8" s="72">
        <f>ROUNDDOWN(SUM(I4:I7),1)</f>
        <v>0</v>
      </c>
      <c r="J8" s="72"/>
      <c r="K8" s="72">
        <f>ROUNDDOWN(SUM(K4:K7),1)</f>
        <v>0</v>
      </c>
      <c r="L8" s="72"/>
      <c r="M8" s="72">
        <f>ROUNDDOWN(SUM(M4:M7),2)</f>
        <v>0</v>
      </c>
      <c r="N8" s="72"/>
      <c r="O8" s="72">
        <f>ROUNDDOWN(SUM(O4:O7),2)</f>
        <v>0</v>
      </c>
      <c r="P8" s="72"/>
      <c r="Q8" s="72"/>
      <c r="R8" s="72"/>
    </row>
    <row r="9" spans="1:19" s="279" customFormat="1" ht="23.1" customHeight="1">
      <c r="A9" s="72"/>
      <c r="B9" s="72"/>
      <c r="C9" s="72"/>
      <c r="D9" s="280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19" s="279" customFormat="1" ht="23.1" customHeight="1">
      <c r="A10" s="58" t="e">
        <f>A3+1</f>
        <v>#REF!</v>
      </c>
      <c r="B10" s="176" t="s">
        <v>997</v>
      </c>
      <c r="C10" s="289" t="s">
        <v>1022</v>
      </c>
      <c r="D10" s="485" t="s">
        <v>273</v>
      </c>
      <c r="E10" s="110"/>
      <c r="F10" s="110"/>
      <c r="G10" s="110"/>
      <c r="H10" s="110"/>
      <c r="I10" s="110"/>
      <c r="J10" s="110"/>
      <c r="K10" s="110"/>
      <c r="L10" s="72"/>
      <c r="M10" s="72"/>
      <c r="N10" s="72"/>
      <c r="O10" s="72"/>
      <c r="P10" s="72"/>
      <c r="Q10" s="72"/>
      <c r="R10" s="72"/>
    </row>
    <row r="11" spans="1:19" s="279" customFormat="1" ht="23.1" customHeight="1">
      <c r="A11" s="63"/>
      <c r="B11" s="110" t="s">
        <v>120</v>
      </c>
      <c r="C11" s="110" t="s">
        <v>1023</v>
      </c>
      <c r="D11" s="118" t="s">
        <v>89</v>
      </c>
      <c r="E11" s="110">
        <v>2</v>
      </c>
      <c r="F11" s="110">
        <f>0.36*1.3</f>
        <v>0.46799999999999997</v>
      </c>
      <c r="G11" s="110">
        <f>ROUNDDOWN(($E11*F11),4)</f>
        <v>0.93600000000000005</v>
      </c>
      <c r="H11" s="110"/>
      <c r="I11" s="110">
        <f>ROUNDDOWN(($E11*H11),4)</f>
        <v>0</v>
      </c>
      <c r="J11" s="110"/>
      <c r="K11" s="110">
        <f>ROUNDDOWN(($E11*J11),4)</f>
        <v>0</v>
      </c>
      <c r="L11" s="72"/>
      <c r="M11" s="72">
        <f>ROUNDDOWN(($E11*L11),4)</f>
        <v>0</v>
      </c>
      <c r="N11" s="72"/>
      <c r="O11" s="72">
        <f>ROUNDDOWN(($E11*N11),4)</f>
        <v>0</v>
      </c>
      <c r="P11" s="72"/>
      <c r="Q11" s="72"/>
      <c r="R11" s="72" t="s">
        <v>1000</v>
      </c>
    </row>
    <row r="12" spans="1:19" s="279" customFormat="1" ht="23.1" customHeight="1">
      <c r="A12" s="72"/>
      <c r="B12" s="110" t="s">
        <v>120</v>
      </c>
      <c r="C12" s="110" t="s">
        <v>451</v>
      </c>
      <c r="D12" s="118" t="s">
        <v>89</v>
      </c>
      <c r="E12" s="110">
        <v>6</v>
      </c>
      <c r="F12" s="110">
        <f>0.19*0.7</f>
        <v>0.13299999999999998</v>
      </c>
      <c r="G12" s="110">
        <f>ROUNDDOWN(($E12*F12),4)</f>
        <v>0.79800000000000004</v>
      </c>
      <c r="H12" s="110"/>
      <c r="I12" s="110">
        <f>ROUNDDOWN(($E12*H12),4)</f>
        <v>0</v>
      </c>
      <c r="J12" s="110"/>
      <c r="K12" s="110">
        <f>ROUNDDOWN(($E12*J12),4)</f>
        <v>0</v>
      </c>
      <c r="L12" s="72"/>
      <c r="M12" s="72">
        <f>ROUNDDOWN(($E12*L12),4)</f>
        <v>0</v>
      </c>
      <c r="N12" s="72"/>
      <c r="O12" s="72">
        <f>ROUNDDOWN(($E12*N12),4)</f>
        <v>0</v>
      </c>
      <c r="P12" s="72"/>
      <c r="Q12" s="72"/>
      <c r="R12" s="72" t="s">
        <v>1000</v>
      </c>
      <c r="S12" s="72"/>
    </row>
    <row r="13" spans="1:19" s="279" customFormat="1" ht="23.1" customHeight="1">
      <c r="A13" s="72"/>
      <c r="B13" s="110" t="s">
        <v>998</v>
      </c>
      <c r="C13" s="110" t="s">
        <v>163</v>
      </c>
      <c r="D13" s="118" t="s">
        <v>89</v>
      </c>
      <c r="E13" s="110">
        <v>7</v>
      </c>
      <c r="F13" s="110">
        <f>0.26*1.3*0.5</f>
        <v>0.16900000000000001</v>
      </c>
      <c r="G13" s="110">
        <f>ROUNDDOWN(($E13*F13),4)</f>
        <v>1.1830000000000001</v>
      </c>
      <c r="H13" s="110"/>
      <c r="I13" s="110"/>
      <c r="J13" s="110"/>
      <c r="K13" s="110"/>
      <c r="L13" s="72"/>
      <c r="M13" s="72"/>
      <c r="N13" s="72"/>
      <c r="O13" s="72"/>
      <c r="P13" s="72"/>
      <c r="Q13" s="72"/>
      <c r="R13" s="72" t="s">
        <v>1000</v>
      </c>
      <c r="S13" s="72"/>
    </row>
    <row r="14" spans="1:19" s="279" customFormat="1" ht="23.1" customHeight="1">
      <c r="A14" s="72"/>
      <c r="B14" s="72"/>
      <c r="C14" s="72"/>
      <c r="D14" s="280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9" s="279" customFormat="1" ht="23.1" customHeight="1">
      <c r="A15" s="72"/>
      <c r="B15" s="72" t="s">
        <v>295</v>
      </c>
      <c r="C15" s="72"/>
      <c r="D15" s="280"/>
      <c r="E15" s="72"/>
      <c r="F15" s="72"/>
      <c r="G15" s="72">
        <f>ROUNDDOWN(SUM(G11:G14),1)</f>
        <v>2.9</v>
      </c>
      <c r="H15" s="72"/>
      <c r="I15" s="72">
        <f>ROUNDDOWN(SUM(I11:I14),1)</f>
        <v>0</v>
      </c>
      <c r="J15" s="72"/>
      <c r="K15" s="72">
        <f>ROUNDDOWN(SUM(K11:K14),1)</f>
        <v>0</v>
      </c>
      <c r="L15" s="72"/>
      <c r="M15" s="72">
        <f>ROUNDDOWN(SUM(M11:M14),2)</f>
        <v>0</v>
      </c>
      <c r="N15" s="72"/>
      <c r="O15" s="72">
        <f>ROUNDDOWN(SUM(O11:O14),2)</f>
        <v>0</v>
      </c>
      <c r="P15" s="72"/>
      <c r="Q15" s="72"/>
      <c r="R15" s="72"/>
    </row>
    <row r="16" spans="1:19" s="279" customFormat="1" ht="23.1" customHeight="1">
      <c r="A16" s="72"/>
      <c r="B16" s="72"/>
      <c r="C16" s="72"/>
      <c r="D16" s="280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9" s="279" customFormat="1" ht="23.1" customHeight="1">
      <c r="A17" s="58"/>
      <c r="B17" s="176"/>
      <c r="C17" s="289"/>
      <c r="D17" s="485"/>
      <c r="E17" s="110"/>
      <c r="F17" s="110"/>
      <c r="G17" s="110"/>
      <c r="H17" s="110"/>
      <c r="I17" s="110"/>
      <c r="J17" s="110"/>
      <c r="K17" s="110"/>
      <c r="L17" s="72"/>
      <c r="M17" s="72"/>
      <c r="N17" s="72"/>
      <c r="O17" s="72"/>
      <c r="P17" s="72"/>
      <c r="Q17" s="72"/>
      <c r="R17" s="72"/>
    </row>
    <row r="18" spans="1:19" s="279" customFormat="1" ht="23.1" customHeight="1">
      <c r="A18" s="63"/>
      <c r="B18" s="110"/>
      <c r="C18" s="110"/>
      <c r="D18" s="118"/>
      <c r="E18" s="110"/>
      <c r="F18" s="110"/>
      <c r="G18" s="110"/>
      <c r="H18" s="110"/>
      <c r="I18" s="110"/>
      <c r="J18" s="110"/>
      <c r="K18" s="110"/>
      <c r="L18" s="72"/>
      <c r="M18" s="72"/>
      <c r="N18" s="72"/>
      <c r="O18" s="72"/>
      <c r="P18" s="72"/>
      <c r="Q18" s="72"/>
      <c r="R18" s="72"/>
      <c r="S18" s="72"/>
    </row>
    <row r="19" spans="1:19" s="279" customFormat="1" ht="23.1" customHeight="1">
      <c r="A19" s="63"/>
      <c r="B19" s="110"/>
      <c r="C19" s="110"/>
      <c r="D19" s="118"/>
      <c r="E19" s="110"/>
      <c r="F19" s="110"/>
      <c r="G19" s="110"/>
      <c r="H19" s="110"/>
      <c r="I19" s="110"/>
      <c r="J19" s="110"/>
      <c r="K19" s="110"/>
      <c r="L19" s="72"/>
      <c r="M19" s="72"/>
      <c r="N19" s="72"/>
      <c r="O19" s="72"/>
      <c r="P19" s="72"/>
      <c r="Q19" s="72"/>
      <c r="R19" s="72"/>
      <c r="S19" s="72"/>
    </row>
    <row r="20" spans="1:19" s="279" customFormat="1" ht="23.1" customHeight="1">
      <c r="A20" s="63"/>
      <c r="B20" s="110"/>
      <c r="C20" s="110"/>
      <c r="D20" s="118"/>
      <c r="E20" s="110"/>
      <c r="F20" s="110"/>
      <c r="G20" s="110"/>
      <c r="H20" s="110"/>
      <c r="I20" s="110"/>
      <c r="J20" s="110"/>
      <c r="K20" s="110"/>
      <c r="L20" s="72"/>
      <c r="M20" s="72"/>
      <c r="N20" s="72"/>
      <c r="O20" s="72"/>
      <c r="P20" s="72"/>
      <c r="Q20" s="72"/>
      <c r="R20" s="72"/>
      <c r="S20" s="72"/>
    </row>
    <row r="21" spans="1:19" s="279" customFormat="1" ht="23.1" customHeight="1">
      <c r="A21" s="63"/>
      <c r="B21" s="110"/>
      <c r="C21" s="110"/>
      <c r="D21" s="118"/>
      <c r="E21" s="110"/>
      <c r="F21" s="110"/>
      <c r="G21" s="110"/>
      <c r="H21" s="110"/>
      <c r="I21" s="110"/>
      <c r="J21" s="110"/>
      <c r="K21" s="110"/>
      <c r="L21" s="72"/>
      <c r="M21" s="72"/>
      <c r="N21" s="72"/>
      <c r="O21" s="72"/>
      <c r="P21" s="72"/>
      <c r="Q21" s="72"/>
      <c r="R21" s="72"/>
      <c r="S21" s="72"/>
    </row>
    <row r="22" spans="1:19" s="279" customFormat="1" ht="23.1" customHeight="1">
      <c r="A22" s="63"/>
      <c r="B22" s="110"/>
      <c r="C22" s="110"/>
      <c r="D22" s="118"/>
      <c r="E22" s="110"/>
      <c r="F22" s="110"/>
      <c r="G22" s="110"/>
      <c r="H22" s="110"/>
      <c r="I22" s="110"/>
      <c r="J22" s="110"/>
      <c r="K22" s="110"/>
      <c r="L22" s="72"/>
      <c r="M22" s="72"/>
      <c r="N22" s="72"/>
      <c r="O22" s="72"/>
      <c r="P22" s="72"/>
      <c r="Q22" s="72"/>
      <c r="R22" s="72"/>
      <c r="S22" s="72"/>
    </row>
    <row r="23" spans="1:19" s="279" customFormat="1" ht="23.1" customHeight="1">
      <c r="A23" s="72"/>
      <c r="B23" s="72"/>
      <c r="C23" s="72"/>
      <c r="D23" s="280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9" s="279" customFormat="1" ht="23.1" customHeight="1">
      <c r="A24" s="72"/>
      <c r="B24" s="72"/>
      <c r="C24" s="72"/>
      <c r="D24" s="280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</row>
    <row r="25" spans="1:19" s="279" customFormat="1" ht="23.1" customHeight="1">
      <c r="A25" s="72"/>
      <c r="B25" s="72"/>
      <c r="C25" s="72"/>
      <c r="D25" s="280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9" s="279" customFormat="1" ht="23.1" customHeight="1">
      <c r="A26" s="72"/>
      <c r="B26" s="72"/>
      <c r="C26" s="72"/>
      <c r="D26" s="280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9" s="279" customFormat="1" ht="23.1" customHeight="1">
      <c r="A27" s="72"/>
      <c r="B27" s="72"/>
      <c r="C27" s="72"/>
      <c r="D27" s="280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9" s="279" customFormat="1" ht="23.1" customHeight="1">
      <c r="A28" s="72"/>
      <c r="B28" s="72"/>
      <c r="C28" s="72"/>
      <c r="D28" s="280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9" s="279" customFormat="1" ht="23.1" customHeight="1">
      <c r="A29" s="72"/>
      <c r="B29" s="72"/>
      <c r="C29" s="72"/>
      <c r="D29" s="280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</row>
    <row r="30" spans="1:19" s="279" customFormat="1" ht="23.1" customHeight="1">
      <c r="A30" s="72"/>
      <c r="B30" s="72"/>
      <c r="C30" s="72"/>
      <c r="D30" s="280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1:19" s="279" customFormat="1" ht="23.1" customHeight="1">
      <c r="A31" s="72"/>
      <c r="B31" s="72"/>
      <c r="C31" s="72"/>
      <c r="D31" s="280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1:19" s="279" customFormat="1" ht="23.1" customHeight="1">
      <c r="A32" s="72"/>
      <c r="B32" s="72"/>
      <c r="C32" s="72"/>
      <c r="D32" s="280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</row>
    <row r="33" spans="1:18" s="279" customFormat="1" ht="23.1" customHeight="1">
      <c r="A33" s="72"/>
      <c r="B33" s="72"/>
      <c r="C33" s="72"/>
      <c r="D33" s="280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1:18" s="279" customFormat="1" ht="23.1" customHeight="1">
      <c r="A34" s="72"/>
      <c r="B34" s="72"/>
      <c r="C34" s="72"/>
      <c r="D34" s="280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1:18" s="279" customFormat="1" ht="23.1" customHeight="1">
      <c r="A35" s="72"/>
      <c r="B35" s="72"/>
      <c r="C35" s="72"/>
      <c r="D35" s="280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1:18" s="276" customFormat="1">
      <c r="A36" s="281"/>
      <c r="B36" s="281"/>
      <c r="C36" s="281"/>
      <c r="D36" s="282"/>
      <c r="E36" s="283"/>
    </row>
    <row r="37" spans="1:18" s="276" customFormat="1">
      <c r="A37" s="281"/>
      <c r="B37" s="281"/>
      <c r="C37" s="281"/>
      <c r="D37" s="282"/>
      <c r="E37" s="283"/>
    </row>
    <row r="38" spans="1:18" s="276" customFormat="1">
      <c r="A38" s="281"/>
      <c r="B38" s="281"/>
      <c r="C38" s="281"/>
      <c r="D38" s="282"/>
      <c r="E38" s="283"/>
    </row>
    <row r="39" spans="1:18" s="276" customFormat="1">
      <c r="A39" s="281"/>
      <c r="B39" s="281"/>
      <c r="C39" s="281"/>
      <c r="D39" s="282"/>
      <c r="E39" s="283"/>
    </row>
    <row r="40" spans="1:18" s="276" customFormat="1">
      <c r="A40" s="281"/>
      <c r="B40" s="281"/>
      <c r="C40" s="281"/>
      <c r="D40" s="282"/>
      <c r="E40" s="283"/>
    </row>
    <row r="41" spans="1:18" s="276" customFormat="1">
      <c r="A41" s="281"/>
      <c r="B41" s="281"/>
      <c r="C41" s="281"/>
      <c r="D41" s="282"/>
      <c r="E41" s="283"/>
    </row>
    <row r="42" spans="1:18" s="276" customFormat="1">
      <c r="A42" s="281"/>
      <c r="B42" s="281"/>
      <c r="C42" s="281"/>
      <c r="D42" s="282"/>
      <c r="E42" s="283"/>
    </row>
    <row r="43" spans="1:18" s="276" customFormat="1">
      <c r="A43" s="281"/>
      <c r="B43" s="281"/>
      <c r="C43" s="281"/>
      <c r="D43" s="282"/>
      <c r="E43" s="283"/>
    </row>
    <row r="44" spans="1:18" s="276" customFormat="1">
      <c r="A44" s="281"/>
      <c r="B44" s="281"/>
      <c r="C44" s="281"/>
      <c r="D44" s="282"/>
      <c r="E44" s="283"/>
    </row>
    <row r="45" spans="1:18" s="276" customFormat="1">
      <c r="A45" s="281"/>
      <c r="B45" s="281"/>
      <c r="C45" s="281"/>
      <c r="D45" s="282"/>
      <c r="E45" s="283"/>
    </row>
    <row r="46" spans="1:18" s="276" customFormat="1">
      <c r="A46" s="281"/>
      <c r="B46" s="281"/>
      <c r="C46" s="281"/>
      <c r="D46" s="282"/>
      <c r="E46" s="283"/>
    </row>
    <row r="47" spans="1:18" s="276" customFormat="1">
      <c r="A47" s="281"/>
      <c r="B47" s="281"/>
      <c r="C47" s="281"/>
      <c r="D47" s="282"/>
      <c r="E47" s="283"/>
    </row>
    <row r="48" spans="1:18" s="276" customFormat="1">
      <c r="A48" s="281"/>
      <c r="B48" s="281"/>
      <c r="C48" s="281"/>
      <c r="D48" s="282"/>
      <c r="E48" s="283"/>
    </row>
    <row r="49" spans="1:5" s="276" customFormat="1">
      <c r="A49" s="281"/>
      <c r="B49" s="281"/>
      <c r="C49" s="281"/>
      <c r="D49" s="282"/>
      <c r="E49" s="283"/>
    </row>
    <row r="50" spans="1:5" s="276" customFormat="1">
      <c r="A50" s="281"/>
      <c r="B50" s="281"/>
      <c r="C50" s="281"/>
      <c r="D50" s="282"/>
      <c r="E50" s="283"/>
    </row>
    <row r="51" spans="1:5" s="276" customFormat="1">
      <c r="A51" s="281"/>
      <c r="B51" s="281"/>
      <c r="C51" s="281"/>
      <c r="D51" s="282"/>
      <c r="E51" s="283"/>
    </row>
    <row r="52" spans="1:5" s="276" customFormat="1">
      <c r="A52" s="281"/>
      <c r="B52" s="281"/>
      <c r="C52" s="281"/>
      <c r="D52" s="282"/>
      <c r="E52" s="283"/>
    </row>
    <row r="53" spans="1:5" s="276" customFormat="1">
      <c r="A53" s="281"/>
      <c r="B53" s="281"/>
      <c r="C53" s="281"/>
      <c r="D53" s="282"/>
      <c r="E53" s="283"/>
    </row>
    <row r="54" spans="1:5" s="276" customFormat="1">
      <c r="A54" s="281"/>
      <c r="B54" s="281"/>
      <c r="C54" s="281"/>
      <c r="D54" s="282"/>
      <c r="E54" s="283"/>
    </row>
    <row r="55" spans="1:5" s="276" customFormat="1">
      <c r="A55" s="281"/>
      <c r="B55" s="281"/>
      <c r="C55" s="281"/>
      <c r="D55" s="282"/>
      <c r="E55" s="283"/>
    </row>
    <row r="56" spans="1:5" s="276" customFormat="1">
      <c r="A56" s="281"/>
      <c r="B56" s="281"/>
      <c r="C56" s="281"/>
      <c r="D56" s="282"/>
      <c r="E56" s="283"/>
    </row>
    <row r="57" spans="1:5" s="276" customFormat="1">
      <c r="A57" s="281"/>
      <c r="B57" s="281"/>
      <c r="C57" s="281"/>
      <c r="D57" s="282"/>
      <c r="E57" s="283"/>
    </row>
    <row r="58" spans="1:5" s="276" customFormat="1">
      <c r="A58" s="281"/>
      <c r="B58" s="281"/>
      <c r="C58" s="281"/>
      <c r="D58" s="282"/>
      <c r="E58" s="283"/>
    </row>
    <row r="59" spans="1:5" s="276" customFormat="1">
      <c r="A59" s="281"/>
      <c r="B59" s="281"/>
      <c r="C59" s="281"/>
      <c r="D59" s="282"/>
      <c r="E59" s="283"/>
    </row>
    <row r="60" spans="1:5" s="276" customFormat="1">
      <c r="A60" s="281"/>
      <c r="B60" s="281"/>
      <c r="C60" s="281"/>
      <c r="D60" s="282"/>
      <c r="E60" s="283"/>
    </row>
    <row r="61" spans="1:5" s="276" customFormat="1">
      <c r="A61" s="281"/>
      <c r="B61" s="281"/>
      <c r="C61" s="281"/>
      <c r="D61" s="282"/>
      <c r="E61" s="283"/>
    </row>
    <row r="62" spans="1:5" s="276" customFormat="1">
      <c r="A62" s="281"/>
      <c r="B62" s="281"/>
      <c r="C62" s="281"/>
      <c r="D62" s="282"/>
      <c r="E62" s="283"/>
    </row>
    <row r="63" spans="1:5" s="276" customFormat="1">
      <c r="A63" s="281"/>
      <c r="B63" s="281"/>
      <c r="C63" s="281"/>
      <c r="D63" s="282"/>
      <c r="E63" s="283"/>
    </row>
    <row r="64" spans="1:5" s="276" customFormat="1">
      <c r="A64" s="281"/>
      <c r="B64" s="281"/>
      <c r="C64" s="281"/>
      <c r="D64" s="282"/>
      <c r="E64" s="283"/>
    </row>
    <row r="65" spans="1:5" s="276" customFormat="1">
      <c r="A65" s="281"/>
      <c r="B65" s="281"/>
      <c r="C65" s="281"/>
      <c r="D65" s="282"/>
      <c r="E65" s="283"/>
    </row>
    <row r="66" spans="1:5" s="276" customFormat="1">
      <c r="A66" s="281"/>
      <c r="B66" s="281"/>
      <c r="C66" s="281"/>
      <c r="D66" s="282"/>
      <c r="E66" s="283"/>
    </row>
    <row r="67" spans="1:5" s="276" customFormat="1">
      <c r="A67" s="281"/>
      <c r="B67" s="281"/>
      <c r="C67" s="281"/>
      <c r="D67" s="282"/>
      <c r="E67" s="283"/>
    </row>
    <row r="68" spans="1:5" s="276" customFormat="1">
      <c r="A68" s="281"/>
      <c r="B68" s="281"/>
      <c r="C68" s="281"/>
      <c r="D68" s="282"/>
      <c r="E68" s="283"/>
    </row>
    <row r="69" spans="1:5" s="276" customFormat="1">
      <c r="A69" s="281"/>
      <c r="B69" s="281"/>
      <c r="C69" s="281"/>
      <c r="D69" s="282"/>
      <c r="E69" s="283"/>
    </row>
    <row r="70" spans="1:5" s="276" customFormat="1">
      <c r="A70" s="281"/>
      <c r="B70" s="281"/>
      <c r="C70" s="281"/>
      <c r="D70" s="282"/>
      <c r="E70" s="283"/>
    </row>
    <row r="71" spans="1:5" s="276" customFormat="1">
      <c r="A71" s="281"/>
      <c r="B71" s="281"/>
      <c r="C71" s="281"/>
      <c r="D71" s="282"/>
      <c r="E71" s="283"/>
    </row>
    <row r="72" spans="1:5" s="276" customFormat="1">
      <c r="A72" s="281"/>
      <c r="B72" s="281"/>
      <c r="C72" s="281"/>
      <c r="D72" s="282"/>
      <c r="E72" s="283"/>
    </row>
    <row r="73" spans="1:5" s="276" customFormat="1">
      <c r="A73" s="281"/>
      <c r="B73" s="281"/>
      <c r="C73" s="281"/>
      <c r="D73" s="282"/>
      <c r="E73" s="283"/>
    </row>
    <row r="74" spans="1:5" s="276" customFormat="1">
      <c r="A74" s="281"/>
      <c r="B74" s="281"/>
      <c r="C74" s="281"/>
      <c r="D74" s="282"/>
      <c r="E74" s="283"/>
    </row>
    <row r="75" spans="1:5" s="276" customFormat="1">
      <c r="A75" s="281"/>
      <c r="B75" s="281"/>
      <c r="C75" s="281"/>
      <c r="D75" s="282"/>
      <c r="E75" s="283"/>
    </row>
    <row r="76" spans="1:5" s="276" customFormat="1">
      <c r="A76" s="281"/>
      <c r="B76" s="281"/>
      <c r="C76" s="281"/>
      <c r="D76" s="282"/>
      <c r="E76" s="283"/>
    </row>
    <row r="77" spans="1:5" s="276" customFormat="1">
      <c r="A77" s="281"/>
      <c r="B77" s="281"/>
      <c r="C77" s="281"/>
      <c r="D77" s="282"/>
      <c r="E77" s="283"/>
    </row>
    <row r="78" spans="1:5" s="276" customFormat="1">
      <c r="A78" s="281"/>
      <c r="B78" s="281"/>
      <c r="C78" s="281"/>
      <c r="D78" s="282"/>
      <c r="E78" s="283"/>
    </row>
    <row r="79" spans="1:5" s="276" customFormat="1">
      <c r="A79" s="281"/>
      <c r="B79" s="281"/>
      <c r="C79" s="281"/>
      <c r="D79" s="282"/>
      <c r="E79" s="283"/>
    </row>
    <row r="80" spans="1:5" s="276" customFormat="1">
      <c r="A80" s="281"/>
      <c r="B80" s="281"/>
      <c r="C80" s="281"/>
      <c r="D80" s="282"/>
      <c r="E80" s="283"/>
    </row>
    <row r="81" spans="1:5" s="276" customFormat="1">
      <c r="A81" s="281"/>
      <c r="B81" s="281"/>
      <c r="C81" s="281"/>
      <c r="D81" s="282"/>
      <c r="E81" s="283"/>
    </row>
    <row r="82" spans="1:5" s="276" customFormat="1">
      <c r="A82" s="281"/>
      <c r="B82" s="281"/>
      <c r="C82" s="281"/>
      <c r="D82" s="282"/>
      <c r="E82" s="283"/>
    </row>
    <row r="83" spans="1:5" s="276" customFormat="1">
      <c r="A83" s="281"/>
      <c r="B83" s="281"/>
      <c r="C83" s="281"/>
      <c r="D83" s="282"/>
      <c r="E83" s="283"/>
    </row>
    <row r="84" spans="1:5" s="276" customFormat="1">
      <c r="A84" s="281"/>
      <c r="B84" s="281"/>
      <c r="C84" s="281"/>
      <c r="D84" s="282"/>
      <c r="E84" s="283"/>
    </row>
    <row r="85" spans="1:5" s="276" customFormat="1">
      <c r="A85" s="281"/>
      <c r="B85" s="281"/>
      <c r="C85" s="281"/>
      <c r="D85" s="282"/>
      <c r="E85" s="283"/>
    </row>
    <row r="86" spans="1:5" s="276" customFormat="1">
      <c r="A86" s="281"/>
      <c r="B86" s="281"/>
      <c r="C86" s="281"/>
      <c r="D86" s="282"/>
      <c r="E86" s="283"/>
    </row>
    <row r="87" spans="1:5" s="276" customFormat="1">
      <c r="A87" s="281"/>
      <c r="B87" s="281"/>
      <c r="C87" s="281"/>
      <c r="D87" s="282"/>
      <c r="E87" s="283"/>
    </row>
    <row r="88" spans="1:5" s="276" customFormat="1">
      <c r="A88" s="281"/>
      <c r="B88" s="281"/>
      <c r="C88" s="281"/>
      <c r="D88" s="282"/>
      <c r="E88" s="283"/>
    </row>
    <row r="89" spans="1:5" s="276" customFormat="1">
      <c r="A89" s="281"/>
      <c r="B89" s="281"/>
      <c r="C89" s="281"/>
      <c r="D89" s="282"/>
      <c r="E89" s="283"/>
    </row>
    <row r="90" spans="1:5" s="276" customFormat="1">
      <c r="A90" s="281"/>
      <c r="B90" s="281"/>
      <c r="C90" s="281"/>
      <c r="D90" s="282"/>
      <c r="E90" s="283"/>
    </row>
    <row r="91" spans="1:5" s="276" customFormat="1">
      <c r="A91" s="281"/>
      <c r="B91" s="281"/>
      <c r="C91" s="281"/>
      <c r="D91" s="282"/>
      <c r="E91" s="283"/>
    </row>
    <row r="92" spans="1:5" s="276" customFormat="1">
      <c r="A92" s="281"/>
      <c r="B92" s="281"/>
      <c r="C92" s="281"/>
      <c r="D92" s="282"/>
      <c r="E92" s="283"/>
    </row>
    <row r="93" spans="1:5" s="276" customFormat="1">
      <c r="A93" s="281"/>
      <c r="B93" s="281"/>
      <c r="C93" s="281"/>
      <c r="D93" s="282"/>
      <c r="E93" s="283"/>
    </row>
    <row r="94" spans="1:5" s="276" customFormat="1">
      <c r="A94" s="281"/>
      <c r="B94" s="281"/>
      <c r="C94" s="281"/>
      <c r="D94" s="282"/>
      <c r="E94" s="283"/>
    </row>
    <row r="95" spans="1:5" s="276" customFormat="1">
      <c r="A95" s="281"/>
      <c r="B95" s="281"/>
      <c r="C95" s="281"/>
      <c r="D95" s="282"/>
      <c r="E95" s="283"/>
    </row>
    <row r="96" spans="1:5" s="276" customFormat="1">
      <c r="A96" s="281"/>
      <c r="B96" s="281"/>
      <c r="C96" s="281"/>
      <c r="D96" s="282"/>
      <c r="E96" s="283"/>
    </row>
    <row r="97" spans="1:5" s="276" customFormat="1">
      <c r="A97" s="281"/>
      <c r="B97" s="281"/>
      <c r="C97" s="281"/>
      <c r="D97" s="282"/>
      <c r="E97" s="283"/>
    </row>
    <row r="98" spans="1:5" s="276" customFormat="1">
      <c r="A98" s="281"/>
      <c r="B98" s="281"/>
      <c r="C98" s="281"/>
      <c r="D98" s="282"/>
      <c r="E98" s="283"/>
    </row>
    <row r="99" spans="1:5" s="276" customFormat="1">
      <c r="A99" s="281"/>
      <c r="B99" s="281"/>
      <c r="C99" s="281"/>
      <c r="D99" s="282"/>
      <c r="E99" s="283"/>
    </row>
    <row r="100" spans="1:5" s="276" customFormat="1">
      <c r="A100" s="281"/>
      <c r="B100" s="281"/>
      <c r="C100" s="281"/>
      <c r="D100" s="282"/>
      <c r="E100" s="283"/>
    </row>
    <row r="101" spans="1:5" s="276" customFormat="1">
      <c r="A101" s="281"/>
      <c r="B101" s="281"/>
      <c r="C101" s="281"/>
      <c r="D101" s="282"/>
      <c r="E101" s="283"/>
    </row>
    <row r="102" spans="1:5" s="276" customFormat="1">
      <c r="A102" s="281"/>
      <c r="B102" s="281"/>
      <c r="C102" s="281"/>
      <c r="D102" s="282"/>
      <c r="E102" s="283"/>
    </row>
    <row r="103" spans="1:5" s="276" customFormat="1">
      <c r="A103" s="281"/>
      <c r="B103" s="281"/>
      <c r="C103" s="281"/>
      <c r="D103" s="282"/>
      <c r="E103" s="283"/>
    </row>
    <row r="104" spans="1:5" s="276" customFormat="1">
      <c r="A104" s="281"/>
      <c r="B104" s="281"/>
      <c r="C104" s="281"/>
      <c r="D104" s="282"/>
      <c r="E104" s="283"/>
    </row>
    <row r="105" spans="1:5" s="276" customFormat="1">
      <c r="A105" s="281"/>
      <c r="B105" s="281"/>
      <c r="C105" s="281"/>
      <c r="D105" s="282"/>
      <c r="E105" s="283"/>
    </row>
    <row r="106" spans="1:5" s="276" customFormat="1">
      <c r="A106" s="281"/>
      <c r="B106" s="281"/>
      <c r="C106" s="281"/>
      <c r="D106" s="282"/>
      <c r="E106" s="283"/>
    </row>
    <row r="107" spans="1:5" s="276" customFormat="1">
      <c r="A107" s="281"/>
      <c r="B107" s="281"/>
      <c r="C107" s="281"/>
      <c r="D107" s="282"/>
      <c r="E107" s="283"/>
    </row>
    <row r="108" spans="1:5" s="276" customFormat="1">
      <c r="A108" s="281"/>
      <c r="B108" s="281"/>
      <c r="C108" s="281"/>
      <c r="D108" s="282"/>
      <c r="E108" s="283"/>
    </row>
    <row r="109" spans="1:5" s="276" customFormat="1">
      <c r="A109" s="281"/>
      <c r="B109" s="281"/>
      <c r="C109" s="281"/>
      <c r="D109" s="282"/>
      <c r="E109" s="283"/>
    </row>
    <row r="110" spans="1:5" s="276" customFormat="1">
      <c r="A110" s="281"/>
      <c r="B110" s="281"/>
      <c r="C110" s="281"/>
      <c r="D110" s="282"/>
      <c r="E110" s="283"/>
    </row>
    <row r="111" spans="1:5" s="276" customFormat="1">
      <c r="A111" s="281"/>
      <c r="B111" s="281"/>
      <c r="C111" s="281"/>
      <c r="D111" s="282"/>
      <c r="E111" s="283"/>
    </row>
    <row r="112" spans="1:5" s="276" customFormat="1">
      <c r="A112" s="281"/>
      <c r="B112" s="281"/>
      <c r="C112" s="281"/>
      <c r="D112" s="282"/>
      <c r="E112" s="283"/>
    </row>
    <row r="113" spans="1:5" s="276" customFormat="1">
      <c r="A113" s="281"/>
      <c r="B113" s="281"/>
      <c r="C113" s="281"/>
      <c r="D113" s="282"/>
      <c r="E113" s="283"/>
    </row>
  </sheetData>
  <mergeCells count="12">
    <mergeCell ref="R1:R2"/>
    <mergeCell ref="F1:G1"/>
    <mergeCell ref="H1:I1"/>
    <mergeCell ref="J1:K1"/>
    <mergeCell ref="L1:M1"/>
    <mergeCell ref="P1:Q1"/>
    <mergeCell ref="A1:A2"/>
    <mergeCell ref="N1:O1"/>
    <mergeCell ref="B1:B2"/>
    <mergeCell ref="C1:C2"/>
    <mergeCell ref="D1:D2"/>
    <mergeCell ref="E1:E2"/>
  </mergeCells>
  <phoneticPr fontId="11" type="noConversion"/>
  <pageMargins left="0.86614173228346458" right="0.39370078740157483" top="0.94488188976377963" bottom="0.51181102362204722" header="0.31496062992125984" footer="0.23622047244094491"/>
  <pageSetup paperSize="9" scale="95" orientation="landscape" r:id="rId1"/>
  <headerFooter alignWithMargins="0">
    <oddHeader xml:space="preserve">&amp;C&amp;"굴림,굵게"&amp;16
일  위  대  가  산  출  근  거&amp;R&amp;"바탕,보통"&amp;10
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20"/>
  <sheetViews>
    <sheetView showZeros="0" view="pageBreakPreview" workbookViewId="0">
      <selection activeCell="H20" sqref="H20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377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X86"/>
  <sheetViews>
    <sheetView showZeros="0" view="pageBreakPreview" zoomScale="115" zoomScaleSheetLayoutView="90" workbookViewId="0">
      <pane xSplit="2" ySplit="2" topLeftCell="C3" activePane="bottomRight" state="frozen"/>
      <selection activeCell="M33" sqref="M33"/>
      <selection pane="topRight" activeCell="M33" sqref="M33"/>
      <selection pane="bottomLeft" activeCell="M33" sqref="M33"/>
      <selection pane="bottomRight" activeCell="B25" sqref="B25"/>
    </sheetView>
  </sheetViews>
  <sheetFormatPr defaultRowHeight="21" customHeight="1"/>
  <cols>
    <col min="1" max="1" width="7.77734375" style="162" customWidth="1"/>
    <col min="2" max="2" width="6.77734375" style="182" customWidth="1"/>
    <col min="3" max="3" width="12.77734375" style="162" customWidth="1"/>
    <col min="4" max="4" width="3.21875" style="162" customWidth="1"/>
    <col min="5" max="5" width="9.77734375" style="162" customWidth="1"/>
    <col min="6" max="6" width="3.21875" style="162" customWidth="1"/>
    <col min="7" max="7" width="12.77734375" style="162" customWidth="1"/>
    <col min="8" max="8" width="3.109375" style="162" customWidth="1"/>
    <col min="9" max="9" width="47.77734375" style="220" customWidth="1"/>
    <col min="10" max="10" width="6.33203125" style="221" customWidth="1"/>
    <col min="11" max="11" width="6.33203125" style="222" customWidth="1"/>
    <col min="12" max="12" width="6.33203125" style="223" customWidth="1"/>
    <col min="13" max="16384" width="8.88671875" style="162"/>
  </cols>
  <sheetData>
    <row r="1" spans="1:24" ht="21" customHeight="1">
      <c r="A1" s="209" t="s">
        <v>698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1" t="s">
        <v>611</v>
      </c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</row>
    <row r="2" spans="1:24" s="120" customFormat="1" ht="21" customHeight="1">
      <c r="A2" s="99" t="s">
        <v>313</v>
      </c>
      <c r="B2" s="118" t="s">
        <v>612</v>
      </c>
      <c r="C2" s="650" t="s">
        <v>613</v>
      </c>
      <c r="D2" s="651"/>
      <c r="E2" s="651"/>
      <c r="F2" s="651"/>
      <c r="G2" s="651"/>
      <c r="H2" s="652"/>
      <c r="I2" s="99" t="s">
        <v>614</v>
      </c>
      <c r="J2" s="99" t="s">
        <v>615</v>
      </c>
      <c r="K2" s="650" t="s">
        <v>314</v>
      </c>
      <c r="L2" s="652"/>
    </row>
    <row r="3" spans="1:24" s="115" customFormat="1" ht="22.5" customHeight="1">
      <c r="A3" s="166" t="s">
        <v>619</v>
      </c>
      <c r="B3" s="118"/>
      <c r="C3" s="231"/>
      <c r="D3" s="230"/>
      <c r="E3" s="231"/>
      <c r="F3" s="230"/>
      <c r="G3" s="123"/>
      <c r="H3" s="230"/>
      <c r="I3" s="176"/>
      <c r="J3" s="225"/>
      <c r="K3" s="228"/>
      <c r="L3" s="229"/>
      <c r="M3" s="224"/>
    </row>
    <row r="4" spans="1:24" s="115" customFormat="1" ht="22.5" customHeight="1">
      <c r="A4" s="118" t="s">
        <v>303</v>
      </c>
      <c r="B4" s="118" t="s">
        <v>665</v>
      </c>
      <c r="C4" s="231" t="s">
        <v>666</v>
      </c>
      <c r="D4" s="230">
        <v>1</v>
      </c>
      <c r="E4" s="231"/>
      <c r="F4" s="230"/>
      <c r="G4" s="123" t="s">
        <v>304</v>
      </c>
      <c r="H4" s="230">
        <v>2</v>
      </c>
      <c r="I4" s="176" t="s">
        <v>667</v>
      </c>
      <c r="J4" s="225">
        <f ca="1">djs(I4,1)*H4</f>
        <v>46</v>
      </c>
      <c r="K4" s="228">
        <f ca="1">((djs(I4,0)+djs(I4,1))*D4)*H4</f>
        <v>52</v>
      </c>
      <c r="L4" s="229">
        <f ca="1">((djs(I4,0)+djs(I4,1))*F4)*H4</f>
        <v>0</v>
      </c>
      <c r="M4" s="224"/>
    </row>
    <row r="5" spans="1:24" s="115" customFormat="1" ht="22.5" customHeight="1">
      <c r="A5" s="99"/>
      <c r="B5" s="118"/>
      <c r="C5" s="231"/>
      <c r="D5" s="230"/>
      <c r="E5" s="231"/>
      <c r="F5" s="230"/>
      <c r="G5" s="123"/>
      <c r="H5" s="230"/>
      <c r="I5" s="176"/>
      <c r="J5" s="225"/>
      <c r="K5" s="228"/>
      <c r="L5" s="229"/>
      <c r="M5" s="224"/>
    </row>
    <row r="6" spans="1:24" s="115" customFormat="1" ht="22.5" customHeight="1">
      <c r="A6" s="118"/>
      <c r="B6" s="118" t="s">
        <v>668</v>
      </c>
      <c r="C6" s="231" t="s">
        <v>666</v>
      </c>
      <c r="D6" s="230">
        <v>1</v>
      </c>
      <c r="E6" s="231"/>
      <c r="F6" s="230"/>
      <c r="G6" s="123" t="s">
        <v>304</v>
      </c>
      <c r="H6" s="230">
        <v>1</v>
      </c>
      <c r="I6" s="176" t="s">
        <v>669</v>
      </c>
      <c r="J6" s="225">
        <f ca="1">djs(I6,1)*H6</f>
        <v>32</v>
      </c>
      <c r="K6" s="228">
        <f ca="1">((djs(I6,0)+djs(I6,1))*D6)*H6</f>
        <v>34</v>
      </c>
      <c r="L6" s="229">
        <f ca="1">((djs(I6,0)+djs(I6,1))*F6)*H6</f>
        <v>0</v>
      </c>
      <c r="M6" s="224"/>
    </row>
    <row r="7" spans="1:24" s="115" customFormat="1" ht="22.5" customHeight="1">
      <c r="A7" s="99"/>
      <c r="B7" s="118"/>
      <c r="C7" s="231"/>
      <c r="D7" s="230"/>
      <c r="E7" s="231"/>
      <c r="F7" s="230"/>
      <c r="G7" s="123"/>
      <c r="H7" s="230"/>
      <c r="I7" s="176"/>
      <c r="J7" s="225"/>
      <c r="K7" s="228"/>
      <c r="L7" s="229"/>
      <c r="M7" s="224"/>
    </row>
    <row r="8" spans="1:24" s="115" customFormat="1" ht="22.5" customHeight="1">
      <c r="A8" s="99"/>
      <c r="B8" s="118"/>
      <c r="C8" s="231"/>
      <c r="D8" s="230"/>
      <c r="E8" s="231"/>
      <c r="F8" s="230"/>
      <c r="G8" s="123"/>
      <c r="H8" s="230"/>
      <c r="I8" s="176"/>
      <c r="J8" s="225"/>
      <c r="K8" s="228"/>
      <c r="L8" s="229"/>
      <c r="M8" s="224"/>
    </row>
    <row r="9" spans="1:24" s="115" customFormat="1" ht="22.5" customHeight="1">
      <c r="A9" s="99"/>
      <c r="B9" s="118"/>
      <c r="C9" s="123"/>
      <c r="D9" s="230"/>
      <c r="E9" s="123"/>
      <c r="F9" s="230"/>
      <c r="G9" s="123"/>
      <c r="H9" s="230"/>
      <c r="I9" s="176"/>
      <c r="J9" s="225"/>
      <c r="K9" s="228"/>
      <c r="L9" s="229"/>
      <c r="M9" s="224"/>
    </row>
    <row r="10" spans="1:24" s="115" customFormat="1" ht="22.5" customHeight="1">
      <c r="A10" s="118"/>
      <c r="B10" s="118"/>
      <c r="C10" s="231"/>
      <c r="D10" s="230"/>
      <c r="E10" s="231"/>
      <c r="F10" s="230"/>
      <c r="G10" s="123"/>
      <c r="H10" s="230"/>
      <c r="I10" s="176"/>
      <c r="J10" s="225"/>
      <c r="K10" s="228"/>
      <c r="L10" s="229"/>
      <c r="M10" s="224"/>
    </row>
    <row r="11" spans="1:24" s="115" customFormat="1" ht="22.5" customHeight="1">
      <c r="A11" s="99"/>
      <c r="B11" s="118"/>
      <c r="C11" s="123"/>
      <c r="D11" s="230"/>
      <c r="E11" s="123"/>
      <c r="F11" s="230"/>
      <c r="G11" s="123"/>
      <c r="H11" s="230"/>
      <c r="I11" s="176"/>
      <c r="J11" s="225"/>
      <c r="K11" s="228"/>
      <c r="L11" s="229"/>
      <c r="M11" s="224"/>
    </row>
    <row r="12" spans="1:24" s="115" customFormat="1" ht="22.5" customHeight="1">
      <c r="A12" s="118"/>
      <c r="B12" s="118"/>
      <c r="C12" s="231"/>
      <c r="D12" s="230"/>
      <c r="E12" s="231"/>
      <c r="F12" s="230"/>
      <c r="G12" s="123"/>
      <c r="H12" s="230"/>
      <c r="I12" s="176"/>
      <c r="J12" s="225"/>
      <c r="K12" s="228"/>
      <c r="L12" s="229"/>
      <c r="M12" s="224"/>
    </row>
    <row r="13" spans="1:24" s="115" customFormat="1" ht="22.5" customHeight="1">
      <c r="A13" s="99"/>
      <c r="B13" s="118"/>
      <c r="C13" s="123"/>
      <c r="D13" s="230"/>
      <c r="E13" s="123"/>
      <c r="F13" s="230"/>
      <c r="G13" s="123"/>
      <c r="H13" s="230"/>
      <c r="I13" s="176"/>
      <c r="J13" s="225"/>
      <c r="K13" s="228"/>
      <c r="L13" s="229"/>
      <c r="M13" s="224"/>
    </row>
    <row r="14" spans="1:24" s="115" customFormat="1" ht="22.5" customHeight="1">
      <c r="A14" s="118"/>
      <c r="B14" s="118"/>
      <c r="C14" s="231"/>
      <c r="D14" s="230"/>
      <c r="E14" s="231"/>
      <c r="F14" s="230"/>
      <c r="G14" s="123"/>
      <c r="H14" s="230"/>
      <c r="I14" s="176"/>
      <c r="J14" s="225"/>
      <c r="K14" s="228"/>
      <c r="L14" s="229"/>
      <c r="M14" s="224"/>
    </row>
    <row r="15" spans="1:24" s="115" customFormat="1" ht="22.5" customHeight="1">
      <c r="A15" s="118"/>
      <c r="B15" s="118"/>
      <c r="C15" s="231"/>
      <c r="D15" s="230"/>
      <c r="E15" s="231"/>
      <c r="F15" s="230"/>
      <c r="G15" s="123"/>
      <c r="H15" s="230"/>
      <c r="I15" s="176"/>
      <c r="J15" s="225"/>
      <c r="K15" s="228"/>
      <c r="L15" s="229"/>
      <c r="M15" s="224"/>
    </row>
    <row r="16" spans="1:24" s="115" customFormat="1" ht="22.5" customHeight="1">
      <c r="A16" s="118"/>
      <c r="B16" s="118"/>
      <c r="C16" s="123"/>
      <c r="D16" s="230"/>
      <c r="E16" s="123"/>
      <c r="F16" s="230"/>
      <c r="G16" s="123"/>
      <c r="H16" s="230"/>
      <c r="I16" s="227"/>
      <c r="J16" s="225"/>
      <c r="K16" s="228"/>
      <c r="L16" s="229"/>
      <c r="M16" s="224"/>
    </row>
    <row r="17" spans="1:13" s="115" customFormat="1" ht="22.5" customHeight="1">
      <c r="A17" s="99"/>
      <c r="B17" s="118"/>
      <c r="C17" s="123"/>
      <c r="D17" s="230"/>
      <c r="E17" s="123"/>
      <c r="F17" s="230"/>
      <c r="G17" s="123"/>
      <c r="H17" s="230"/>
      <c r="I17" s="176"/>
      <c r="J17" s="225"/>
      <c r="K17" s="228"/>
      <c r="L17" s="229"/>
      <c r="M17" s="224"/>
    </row>
    <row r="18" spans="1:13" s="115" customFormat="1" ht="22.5" customHeight="1">
      <c r="A18" s="118"/>
      <c r="B18" s="118"/>
      <c r="C18" s="231"/>
      <c r="D18" s="230"/>
      <c r="E18" s="231"/>
      <c r="F18" s="230"/>
      <c r="G18" s="123"/>
      <c r="H18" s="230"/>
      <c r="I18" s="176"/>
      <c r="J18" s="225"/>
      <c r="K18" s="228"/>
      <c r="L18" s="229"/>
      <c r="M18" s="224"/>
    </row>
    <row r="19" spans="1:13" s="115" customFormat="1" ht="22.5" customHeight="1">
      <c r="A19" s="118"/>
      <c r="B19" s="118"/>
      <c r="C19" s="231"/>
      <c r="D19" s="230"/>
      <c r="E19" s="231"/>
      <c r="F19" s="230"/>
      <c r="G19" s="123"/>
      <c r="H19" s="230"/>
      <c r="I19" s="176"/>
      <c r="J19" s="225"/>
      <c r="K19" s="228"/>
      <c r="L19" s="229"/>
      <c r="M19" s="224"/>
    </row>
    <row r="20" spans="1:13" s="115" customFormat="1" ht="22.5" customHeight="1">
      <c r="A20" s="118"/>
      <c r="B20" s="118"/>
      <c r="C20" s="231"/>
      <c r="D20" s="230"/>
      <c r="E20" s="231"/>
      <c r="F20" s="230"/>
      <c r="G20" s="123"/>
      <c r="H20" s="230"/>
      <c r="I20" s="176"/>
      <c r="J20" s="225"/>
      <c r="K20" s="228"/>
      <c r="L20" s="229"/>
      <c r="M20" s="224"/>
    </row>
    <row r="21" spans="1:13" s="115" customFormat="1" ht="22.5" customHeight="1">
      <c r="A21" s="99"/>
      <c r="B21" s="118"/>
      <c r="C21" s="231"/>
      <c r="D21" s="230"/>
      <c r="E21" s="231"/>
      <c r="F21" s="230"/>
      <c r="G21" s="123"/>
      <c r="H21" s="230"/>
      <c r="I21" s="176"/>
      <c r="J21" s="225"/>
      <c r="K21" s="228"/>
      <c r="L21" s="229"/>
      <c r="M21" s="224"/>
    </row>
    <row r="22" spans="1:13" s="115" customFormat="1" ht="22.5" customHeight="1">
      <c r="A22" s="99"/>
      <c r="B22" s="118"/>
      <c r="C22" s="231"/>
      <c r="D22" s="230"/>
      <c r="E22" s="231"/>
      <c r="F22" s="230"/>
      <c r="G22" s="123"/>
      <c r="H22" s="230"/>
      <c r="I22" s="176"/>
      <c r="J22" s="225"/>
      <c r="K22" s="228"/>
      <c r="L22" s="229"/>
      <c r="M22" s="224"/>
    </row>
    <row r="23" spans="1:13" s="115" customFormat="1" ht="22.5" customHeight="1">
      <c r="A23" s="118"/>
      <c r="B23" s="118"/>
      <c r="C23" s="231"/>
      <c r="D23" s="230"/>
      <c r="E23" s="231"/>
      <c r="F23" s="230"/>
      <c r="G23" s="123"/>
      <c r="H23" s="230"/>
      <c r="I23" s="176"/>
      <c r="J23" s="225"/>
      <c r="K23" s="228"/>
      <c r="L23" s="229"/>
      <c r="M23" s="224"/>
    </row>
    <row r="24" spans="1:13" s="115" customFormat="1" ht="22.5" customHeight="1">
      <c r="A24" s="118"/>
      <c r="B24" s="118"/>
      <c r="C24" s="231"/>
      <c r="D24" s="230"/>
      <c r="E24" s="231"/>
      <c r="F24" s="230"/>
      <c r="G24" s="123"/>
      <c r="H24" s="230"/>
      <c r="I24" s="176"/>
      <c r="J24" s="225"/>
      <c r="K24" s="228"/>
      <c r="L24" s="229"/>
      <c r="M24" s="224"/>
    </row>
    <row r="25" spans="1:13" s="115" customFormat="1" ht="22.5" customHeight="1">
      <c r="A25" s="118"/>
      <c r="B25" s="118"/>
      <c r="C25" s="231"/>
      <c r="D25" s="230"/>
      <c r="E25" s="231"/>
      <c r="F25" s="230"/>
      <c r="G25" s="123"/>
      <c r="H25" s="230"/>
      <c r="I25" s="176"/>
      <c r="J25" s="225"/>
      <c r="K25" s="228"/>
      <c r="L25" s="229"/>
      <c r="M25" s="224"/>
    </row>
    <row r="26" spans="1:13" s="115" customFormat="1" ht="22.5" customHeight="1">
      <c r="A26" s="166" t="s">
        <v>620</v>
      </c>
      <c r="B26" s="118"/>
      <c r="C26" s="231"/>
      <c r="D26" s="230"/>
      <c r="E26" s="231"/>
      <c r="F26" s="230"/>
      <c r="G26" s="123"/>
      <c r="H26" s="230"/>
      <c r="I26" s="176"/>
      <c r="J26" s="225"/>
      <c r="K26" s="228"/>
      <c r="L26" s="229"/>
      <c r="M26" s="224"/>
    </row>
    <row r="27" spans="1:13" s="115" customFormat="1" ht="22.5" customHeight="1">
      <c r="A27" s="118" t="s">
        <v>303</v>
      </c>
      <c r="B27" s="118" t="s">
        <v>670</v>
      </c>
      <c r="C27" s="231" t="s">
        <v>511</v>
      </c>
      <c r="D27" s="230">
        <v>1</v>
      </c>
      <c r="E27" s="231" t="s">
        <v>381</v>
      </c>
      <c r="F27" s="230">
        <v>1</v>
      </c>
      <c r="G27" s="123" t="s">
        <v>512</v>
      </c>
      <c r="H27" s="230">
        <v>1</v>
      </c>
      <c r="I27" s="176" t="s">
        <v>671</v>
      </c>
      <c r="J27" s="225">
        <f ca="1">djs(I27,1)*H27</f>
        <v>22.4</v>
      </c>
      <c r="K27" s="228">
        <f ca="1">((djs(I27,0)+djs(I27,1))*D27)*H27</f>
        <v>24.4</v>
      </c>
      <c r="L27" s="229">
        <f ca="1">((djs(I27,0)+djs(I27,1))*F27)*H27</f>
        <v>24.4</v>
      </c>
      <c r="M27" s="224"/>
    </row>
    <row r="28" spans="1:13" s="115" customFormat="1" ht="22.5" customHeight="1">
      <c r="A28" s="118"/>
      <c r="B28" s="118"/>
      <c r="C28" s="231" t="s">
        <v>683</v>
      </c>
      <c r="D28" s="230"/>
      <c r="E28" s="231"/>
      <c r="F28" s="230"/>
      <c r="G28" s="123" t="s">
        <v>686</v>
      </c>
      <c r="H28" s="230">
        <v>1</v>
      </c>
      <c r="I28" s="176" t="s">
        <v>687</v>
      </c>
      <c r="J28" s="234">
        <f ca="1">djs(I28,1)*H28</f>
        <v>4.4000000000000004</v>
      </c>
      <c r="K28" s="235">
        <f ca="1">((djs(I28,0)+djs(I28,1))*D28)*H28</f>
        <v>0</v>
      </c>
      <c r="L28" s="236">
        <f ca="1">((djs(I28,0)+djs(I28,1))*F28)*H28</f>
        <v>0</v>
      </c>
      <c r="M28" s="224"/>
    </row>
    <row r="29" spans="1:13" s="115" customFormat="1" ht="22.5" customHeight="1">
      <c r="A29" s="118"/>
      <c r="B29" s="118"/>
      <c r="C29" s="231"/>
      <c r="D29" s="230"/>
      <c r="E29" s="231"/>
      <c r="F29" s="230"/>
      <c r="G29" s="123"/>
      <c r="H29" s="230"/>
      <c r="I29" s="176"/>
      <c r="J29" s="225"/>
      <c r="K29" s="228"/>
      <c r="L29" s="229"/>
      <c r="M29" s="224"/>
    </row>
    <row r="30" spans="1:13" s="115" customFormat="1" ht="22.5" customHeight="1">
      <c r="A30" s="118"/>
      <c r="B30" s="118" t="s">
        <v>672</v>
      </c>
      <c r="C30" s="231" t="s">
        <v>590</v>
      </c>
      <c r="D30" s="230">
        <v>4</v>
      </c>
      <c r="E30" s="231" t="s">
        <v>617</v>
      </c>
      <c r="F30" s="230">
        <v>1</v>
      </c>
      <c r="G30" s="123" t="s">
        <v>616</v>
      </c>
      <c r="H30" s="230">
        <v>1</v>
      </c>
      <c r="I30" s="176" t="s">
        <v>673</v>
      </c>
      <c r="J30" s="225">
        <f ca="1">djs(I30,1)*H30</f>
        <v>26.2</v>
      </c>
      <c r="K30" s="228">
        <f ca="1">((djs(I30,0)+djs(I30,1))*D30)*H30</f>
        <v>108.8</v>
      </c>
      <c r="L30" s="229">
        <f ca="1">((djs(I30,0)+djs(I30,1))*F30)*H30</f>
        <v>27.2</v>
      </c>
      <c r="M30" s="224"/>
    </row>
    <row r="31" spans="1:13" s="115" customFormat="1" ht="22.5" customHeight="1">
      <c r="A31" s="118"/>
      <c r="B31" s="118"/>
      <c r="C31" s="231" t="s">
        <v>590</v>
      </c>
      <c r="D31" s="230">
        <v>4</v>
      </c>
      <c r="E31" s="231" t="s">
        <v>617</v>
      </c>
      <c r="F31" s="230">
        <v>1</v>
      </c>
      <c r="G31" s="123" t="s">
        <v>610</v>
      </c>
      <c r="H31" s="230">
        <v>1</v>
      </c>
      <c r="I31" s="176" t="s">
        <v>674</v>
      </c>
      <c r="J31" s="225">
        <f ca="1">djs(I31,1)*H31</f>
        <v>10</v>
      </c>
      <c r="K31" s="228">
        <f ca="1">((djs(I31,0)+djs(I31,1))*D31)*H31</f>
        <v>40</v>
      </c>
      <c r="L31" s="229">
        <f ca="1">((djs(I31,0)+djs(I31,1))*F31)*H31</f>
        <v>10</v>
      </c>
      <c r="M31" s="224"/>
    </row>
    <row r="32" spans="1:13" s="115" customFormat="1" ht="22.5" customHeight="1">
      <c r="A32" s="118"/>
      <c r="B32" s="118"/>
      <c r="C32" s="231"/>
      <c r="D32" s="230"/>
      <c r="E32" s="231"/>
      <c r="F32" s="230"/>
      <c r="G32" s="123"/>
      <c r="H32" s="230"/>
      <c r="I32" s="176"/>
      <c r="J32" s="225"/>
      <c r="K32" s="228"/>
      <c r="L32" s="229"/>
      <c r="M32" s="224"/>
    </row>
    <row r="33" spans="1:13" s="115" customFormat="1" ht="22.5" customHeight="1">
      <c r="A33" s="118"/>
      <c r="B33" s="118" t="s">
        <v>675</v>
      </c>
      <c r="C33" s="231" t="s">
        <v>584</v>
      </c>
      <c r="D33" s="230">
        <v>1</v>
      </c>
      <c r="E33" s="231" t="s">
        <v>585</v>
      </c>
      <c r="F33" s="230">
        <v>1</v>
      </c>
      <c r="G33" s="123" t="s">
        <v>523</v>
      </c>
      <c r="H33" s="230">
        <v>1</v>
      </c>
      <c r="I33" s="176" t="s">
        <v>676</v>
      </c>
      <c r="J33" s="225">
        <f ca="1">djs(I33,1)*H33</f>
        <v>38.9</v>
      </c>
      <c r="K33" s="228">
        <f ca="1">((djs(I33,0)+djs(I33,1))*D33)*H33</f>
        <v>41.9</v>
      </c>
      <c r="L33" s="229">
        <f ca="1">((djs(I33,0)+djs(I33,1))*F33)*H33</f>
        <v>41.9</v>
      </c>
      <c r="M33" s="224"/>
    </row>
    <row r="34" spans="1:13" s="115" customFormat="1" ht="22.5" customHeight="1">
      <c r="A34" s="118"/>
      <c r="B34" s="118"/>
      <c r="C34" s="231" t="s">
        <v>584</v>
      </c>
      <c r="D34" s="230">
        <v>1</v>
      </c>
      <c r="E34" s="231" t="s">
        <v>585</v>
      </c>
      <c r="F34" s="230">
        <v>1</v>
      </c>
      <c r="G34" s="123" t="s">
        <v>609</v>
      </c>
      <c r="H34" s="230">
        <v>1</v>
      </c>
      <c r="I34" s="176">
        <v>2</v>
      </c>
      <c r="J34" s="225">
        <f ca="1">djs(I34,1)*H34</f>
        <v>2</v>
      </c>
      <c r="K34" s="228">
        <f ca="1">((djs(I34,0)+djs(I34,1))*D34)*H34</f>
        <v>2</v>
      </c>
      <c r="L34" s="229">
        <f ca="1">((djs(I34,0)+djs(I34,1))*F34)*H34</f>
        <v>2</v>
      </c>
      <c r="M34" s="224"/>
    </row>
    <row r="35" spans="1:13" s="115" customFormat="1" ht="22.5" customHeight="1">
      <c r="A35" s="118"/>
      <c r="B35" s="118"/>
      <c r="C35" s="231" t="s">
        <v>683</v>
      </c>
      <c r="D35" s="230"/>
      <c r="E35" s="231"/>
      <c r="F35" s="230"/>
      <c r="G35" s="123" t="s">
        <v>688</v>
      </c>
      <c r="H35" s="230">
        <v>1</v>
      </c>
      <c r="I35" s="176">
        <v>4</v>
      </c>
      <c r="J35" s="234">
        <f ca="1">djs(I35,1)*H35</f>
        <v>4</v>
      </c>
      <c r="K35" s="235">
        <f ca="1">((djs(I35,0)+djs(I35,1))*D35)*H35</f>
        <v>0</v>
      </c>
      <c r="L35" s="236">
        <f ca="1">((djs(I35,0)+djs(I35,1))*F35)*H35</f>
        <v>0</v>
      </c>
      <c r="M35" s="224"/>
    </row>
    <row r="36" spans="1:13" s="115" customFormat="1" ht="22.5" customHeight="1">
      <c r="A36" s="118"/>
      <c r="B36" s="118"/>
      <c r="C36" s="231"/>
      <c r="D36" s="230"/>
      <c r="E36" s="231"/>
      <c r="F36" s="230"/>
      <c r="G36" s="123"/>
      <c r="H36" s="230"/>
      <c r="I36" s="176"/>
      <c r="J36" s="234"/>
      <c r="K36" s="235"/>
      <c r="L36" s="236"/>
      <c r="M36" s="224"/>
    </row>
    <row r="37" spans="1:13" s="115" customFormat="1" ht="22.5" customHeight="1">
      <c r="A37" s="118"/>
      <c r="B37" s="118" t="s">
        <v>675</v>
      </c>
      <c r="C37" s="231" t="s">
        <v>584</v>
      </c>
      <c r="D37" s="230">
        <v>1</v>
      </c>
      <c r="E37" s="231" t="s">
        <v>585</v>
      </c>
      <c r="F37" s="230">
        <v>1</v>
      </c>
      <c r="G37" s="123" t="s">
        <v>523</v>
      </c>
      <c r="H37" s="230">
        <v>1</v>
      </c>
      <c r="I37" s="176" t="s">
        <v>689</v>
      </c>
      <c r="J37" s="225">
        <f ca="1">djs(I37,1)*H37</f>
        <v>37.9</v>
      </c>
      <c r="K37" s="228">
        <f ca="1">((djs(I37,0)+djs(I37,1))*D37)*H37</f>
        <v>40.9</v>
      </c>
      <c r="L37" s="229">
        <f ca="1">((djs(I37,0)+djs(I37,1))*F37)*H37</f>
        <v>40.9</v>
      </c>
      <c r="M37" s="224"/>
    </row>
    <row r="38" spans="1:13" s="115" customFormat="1" ht="22.5" customHeight="1">
      <c r="A38" s="118"/>
      <c r="B38" s="118"/>
      <c r="C38" s="231" t="s">
        <v>584</v>
      </c>
      <c r="D38" s="230">
        <v>1</v>
      </c>
      <c r="E38" s="231" t="s">
        <v>585</v>
      </c>
      <c r="F38" s="230">
        <v>1</v>
      </c>
      <c r="G38" s="123" t="s">
        <v>609</v>
      </c>
      <c r="H38" s="230">
        <v>1</v>
      </c>
      <c r="I38" s="176">
        <v>2</v>
      </c>
      <c r="J38" s="225">
        <f ca="1">djs(I38,1)*H38</f>
        <v>2</v>
      </c>
      <c r="K38" s="228">
        <f ca="1">((djs(I38,0)+djs(I38,1))*D38)*H38</f>
        <v>2</v>
      </c>
      <c r="L38" s="229">
        <f ca="1">((djs(I38,0)+djs(I38,1))*F38)*H38</f>
        <v>2</v>
      </c>
      <c r="M38" s="224"/>
    </row>
    <row r="39" spans="1:13" s="115" customFormat="1" ht="22.5" customHeight="1">
      <c r="A39" s="118"/>
      <c r="B39" s="118"/>
      <c r="C39" s="231" t="s">
        <v>683</v>
      </c>
      <c r="D39" s="230"/>
      <c r="E39" s="231"/>
      <c r="F39" s="230"/>
      <c r="G39" s="123" t="s">
        <v>688</v>
      </c>
      <c r="H39" s="230">
        <v>1</v>
      </c>
      <c r="I39" s="176">
        <v>4</v>
      </c>
      <c r="J39" s="234">
        <f ca="1">djs(I39,1)*H39</f>
        <v>4</v>
      </c>
      <c r="K39" s="235">
        <f ca="1">((djs(I39,0)+djs(I39,1))*D39)*H39</f>
        <v>0</v>
      </c>
      <c r="L39" s="236">
        <f ca="1">((djs(I39,0)+djs(I39,1))*F39)*H39</f>
        <v>0</v>
      </c>
      <c r="M39" s="224"/>
    </row>
    <row r="40" spans="1:13" s="115" customFormat="1" ht="22.5" customHeight="1">
      <c r="A40" s="118"/>
      <c r="B40" s="118"/>
      <c r="C40" s="231"/>
      <c r="D40" s="230"/>
      <c r="E40" s="231"/>
      <c r="F40" s="230"/>
      <c r="G40" s="123"/>
      <c r="H40" s="230"/>
      <c r="I40" s="176"/>
      <c r="J40" s="225"/>
      <c r="K40" s="228"/>
      <c r="L40" s="229"/>
      <c r="M40" s="224"/>
    </row>
    <row r="41" spans="1:13" s="115" customFormat="1" ht="22.5" customHeight="1">
      <c r="A41" s="118" t="s">
        <v>670</v>
      </c>
      <c r="B41" s="118" t="s">
        <v>677</v>
      </c>
      <c r="C41" s="231" t="s">
        <v>608</v>
      </c>
      <c r="D41" s="230">
        <v>1</v>
      </c>
      <c r="E41" s="231" t="s">
        <v>582</v>
      </c>
      <c r="F41" s="230">
        <v>1</v>
      </c>
      <c r="G41" s="123" t="s">
        <v>589</v>
      </c>
      <c r="H41" s="230">
        <v>1</v>
      </c>
      <c r="I41" s="176" t="s">
        <v>678</v>
      </c>
      <c r="J41" s="225">
        <f ca="1">djs(I41,1)*H41</f>
        <v>9.1999999999999993</v>
      </c>
      <c r="K41" s="228">
        <f ca="1">((djs(I41,0)+djs(I41,1))*D41)*H41</f>
        <v>10.199999999999999</v>
      </c>
      <c r="L41" s="229">
        <f ca="1">((djs(I41,0)+djs(I41,1))*F41)*H41</f>
        <v>10.199999999999999</v>
      </c>
      <c r="M41" s="224"/>
    </row>
    <row r="42" spans="1:13" s="115" customFormat="1" ht="22.5" customHeight="1">
      <c r="A42" s="118"/>
      <c r="B42" s="118"/>
      <c r="C42" s="231" t="s">
        <v>608</v>
      </c>
      <c r="D42" s="230">
        <v>1</v>
      </c>
      <c r="E42" s="231" t="s">
        <v>582</v>
      </c>
      <c r="F42" s="230">
        <v>1</v>
      </c>
      <c r="G42" s="123" t="s">
        <v>607</v>
      </c>
      <c r="H42" s="230">
        <v>1</v>
      </c>
      <c r="I42" s="176">
        <v>2</v>
      </c>
      <c r="J42" s="225">
        <f ca="1">djs(I42,1)*H42</f>
        <v>2</v>
      </c>
      <c r="K42" s="228">
        <f ca="1">((djs(I42,0)+djs(I42,1))*D42)*H42</f>
        <v>2</v>
      </c>
      <c r="L42" s="229">
        <f ca="1">((djs(I42,0)+djs(I42,1))*F42)*H42</f>
        <v>2</v>
      </c>
      <c r="M42" s="224"/>
    </row>
    <row r="43" spans="1:13" s="115" customFormat="1" ht="22.5" customHeight="1">
      <c r="A43" s="118"/>
      <c r="B43" s="118"/>
      <c r="C43" s="231"/>
      <c r="D43" s="230"/>
      <c r="E43" s="231"/>
      <c r="F43" s="230"/>
      <c r="G43" s="123"/>
      <c r="H43" s="230"/>
      <c r="I43" s="176"/>
      <c r="J43" s="225"/>
      <c r="K43" s="228"/>
      <c r="L43" s="229"/>
      <c r="M43" s="224"/>
    </row>
    <row r="44" spans="1:13" s="115" customFormat="1" ht="22.5" customHeight="1">
      <c r="A44" s="118"/>
      <c r="B44" s="118" t="s">
        <v>677</v>
      </c>
      <c r="C44" s="231" t="s">
        <v>608</v>
      </c>
      <c r="D44" s="230">
        <v>1</v>
      </c>
      <c r="E44" s="231" t="s">
        <v>582</v>
      </c>
      <c r="F44" s="230">
        <v>1</v>
      </c>
      <c r="G44" s="123" t="s">
        <v>589</v>
      </c>
      <c r="H44" s="230">
        <v>1</v>
      </c>
      <c r="I44" s="176" t="s">
        <v>679</v>
      </c>
      <c r="J44" s="225">
        <f ca="1">djs(I44,1)*H44</f>
        <v>14.2</v>
      </c>
      <c r="K44" s="228">
        <f ca="1">((djs(I44,0)+djs(I44,1))*D44)*H44</f>
        <v>15.2</v>
      </c>
      <c r="L44" s="229">
        <f ca="1">((djs(I44,0)+djs(I44,1))*F44)*H44</f>
        <v>15.2</v>
      </c>
      <c r="M44" s="224"/>
    </row>
    <row r="45" spans="1:13" s="115" customFormat="1" ht="22.5" customHeight="1">
      <c r="A45" s="118"/>
      <c r="B45" s="118"/>
      <c r="C45" s="231" t="s">
        <v>608</v>
      </c>
      <c r="D45" s="230">
        <v>1</v>
      </c>
      <c r="E45" s="231" t="s">
        <v>582</v>
      </c>
      <c r="F45" s="230">
        <v>1</v>
      </c>
      <c r="G45" s="123" t="s">
        <v>607</v>
      </c>
      <c r="H45" s="230">
        <v>1</v>
      </c>
      <c r="I45" s="176">
        <v>2</v>
      </c>
      <c r="J45" s="225">
        <f ca="1">djs(I45,1)*H45</f>
        <v>2</v>
      </c>
      <c r="K45" s="228">
        <f ca="1">((djs(I45,0)+djs(I45,1))*D45)*H45</f>
        <v>2</v>
      </c>
      <c r="L45" s="229">
        <f ca="1">((djs(I45,0)+djs(I45,1))*F45)*H45</f>
        <v>2</v>
      </c>
      <c r="M45" s="224"/>
    </row>
    <row r="46" spans="1:13" s="115" customFormat="1" ht="22.5" customHeight="1">
      <c r="A46" s="118"/>
      <c r="B46" s="118"/>
      <c r="C46" s="231"/>
      <c r="D46" s="230"/>
      <c r="E46" s="231"/>
      <c r="F46" s="230"/>
      <c r="G46" s="123"/>
      <c r="H46" s="230"/>
      <c r="I46" s="176"/>
      <c r="J46" s="234"/>
      <c r="K46" s="235"/>
      <c r="L46" s="236"/>
      <c r="M46" s="224"/>
    </row>
    <row r="47" spans="1:13" s="115" customFormat="1" ht="22.5" customHeight="1">
      <c r="A47" s="118"/>
      <c r="B47" s="118" t="s">
        <v>680</v>
      </c>
      <c r="C47" s="231" t="s">
        <v>666</v>
      </c>
      <c r="D47" s="230">
        <v>1</v>
      </c>
      <c r="E47" s="231"/>
      <c r="F47" s="230"/>
      <c r="G47" s="123" t="s">
        <v>304</v>
      </c>
      <c r="H47" s="230">
        <v>2</v>
      </c>
      <c r="I47" s="176" t="s">
        <v>681</v>
      </c>
      <c r="J47" s="225">
        <f ca="1">djs(I47,1)*H47</f>
        <v>52</v>
      </c>
      <c r="K47" s="228">
        <f ca="1">((djs(I47,0)+djs(I47,1))*D47)*H47</f>
        <v>54</v>
      </c>
      <c r="L47" s="229">
        <f ca="1">((djs(I47,0)+djs(I47,1))*F47)*H47</f>
        <v>0</v>
      </c>
      <c r="M47" s="224"/>
    </row>
    <row r="48" spans="1:13" s="115" customFormat="1" ht="22.5" customHeight="1">
      <c r="A48" s="99"/>
      <c r="B48" s="118"/>
      <c r="C48" s="231"/>
      <c r="D48" s="230"/>
      <c r="E48" s="231"/>
      <c r="F48" s="230"/>
      <c r="G48" s="123"/>
      <c r="H48" s="230"/>
      <c r="I48" s="176"/>
      <c r="J48" s="225"/>
      <c r="K48" s="228"/>
      <c r="L48" s="229"/>
      <c r="M48" s="224"/>
    </row>
    <row r="49" spans="1:13" s="115" customFormat="1" ht="22.5" customHeight="1">
      <c r="A49" s="118" t="s">
        <v>303</v>
      </c>
      <c r="B49" s="118" t="s">
        <v>581</v>
      </c>
      <c r="C49" s="239" t="s">
        <v>436</v>
      </c>
      <c r="D49" s="238">
        <v>2</v>
      </c>
      <c r="E49" s="239" t="s">
        <v>436</v>
      </c>
      <c r="F49" s="238">
        <v>1</v>
      </c>
      <c r="G49" s="239" t="s">
        <v>302</v>
      </c>
      <c r="H49" s="238">
        <v>1</v>
      </c>
      <c r="I49" s="237" t="s">
        <v>682</v>
      </c>
      <c r="J49" s="234">
        <f ca="1">djs(I49,1)*H49</f>
        <v>108.2</v>
      </c>
      <c r="K49" s="235">
        <f ca="1">((djs(I49,0)+djs(I49,1))*D49)*H49</f>
        <v>218.4</v>
      </c>
      <c r="L49" s="236">
        <f ca="1">((djs(I49,0)+djs(I49,1))*F49)*H49</f>
        <v>109.2</v>
      </c>
      <c r="M49" s="224"/>
    </row>
    <row r="50" spans="1:13" s="115" customFormat="1" ht="22.5" customHeight="1">
      <c r="A50" s="118"/>
      <c r="B50" s="118"/>
      <c r="C50" s="231" t="s">
        <v>683</v>
      </c>
      <c r="D50" s="230"/>
      <c r="E50" s="231"/>
      <c r="F50" s="230"/>
      <c r="G50" s="123" t="s">
        <v>684</v>
      </c>
      <c r="H50" s="230">
        <v>1</v>
      </c>
      <c r="I50" s="176" t="s">
        <v>685</v>
      </c>
      <c r="J50" s="234">
        <f ca="1">djs(I50,1)*H50</f>
        <v>21</v>
      </c>
      <c r="K50" s="235">
        <f ca="1">((djs(I50,0)+djs(I50,1))*D50)*H50</f>
        <v>0</v>
      </c>
      <c r="L50" s="236">
        <f ca="1">((djs(I50,0)+djs(I50,1))*F50)*H50</f>
        <v>0</v>
      </c>
      <c r="M50" s="224"/>
    </row>
    <row r="51" spans="1:13" s="115" customFormat="1" ht="22.5" customHeight="1">
      <c r="A51" s="118"/>
      <c r="B51" s="118"/>
      <c r="C51" s="231"/>
      <c r="D51" s="230"/>
      <c r="E51" s="231"/>
      <c r="F51" s="230"/>
      <c r="G51" s="123"/>
      <c r="H51" s="230"/>
      <c r="I51" s="176"/>
      <c r="J51" s="234"/>
      <c r="K51" s="235"/>
      <c r="L51" s="236"/>
      <c r="M51" s="224"/>
    </row>
    <row r="52" spans="1:13" s="115" customFormat="1" ht="22.5" customHeight="1">
      <c r="A52" s="118"/>
      <c r="B52" s="118" t="s">
        <v>618</v>
      </c>
      <c r="C52" s="239" t="s">
        <v>436</v>
      </c>
      <c r="D52" s="238">
        <v>2</v>
      </c>
      <c r="E52" s="239" t="s">
        <v>436</v>
      </c>
      <c r="F52" s="238">
        <v>1</v>
      </c>
      <c r="G52" s="239" t="s">
        <v>302</v>
      </c>
      <c r="H52" s="238">
        <v>1</v>
      </c>
      <c r="I52" s="237" t="s">
        <v>691</v>
      </c>
      <c r="J52" s="234">
        <f t="shared" ref="J52:J58" ca="1" si="0">djs(I52,1)*H52</f>
        <v>70.2</v>
      </c>
      <c r="K52" s="235">
        <f t="shared" ref="K52:K58" ca="1" si="1">((djs(I52,0)+djs(I52,1))*D52)*H52</f>
        <v>142.4</v>
      </c>
      <c r="L52" s="236">
        <f t="shared" ref="L52:L58" ca="1" si="2">((djs(I52,0)+djs(I52,1))*F52)*H52</f>
        <v>71.2</v>
      </c>
      <c r="M52" s="224"/>
    </row>
    <row r="53" spans="1:13" s="115" customFormat="1" ht="22.5" customHeight="1">
      <c r="A53" s="118"/>
      <c r="B53" s="118"/>
      <c r="C53" s="239" t="s">
        <v>436</v>
      </c>
      <c r="D53" s="238">
        <v>2</v>
      </c>
      <c r="E53" s="239" t="s">
        <v>436</v>
      </c>
      <c r="F53" s="238">
        <v>1</v>
      </c>
      <c r="G53" s="239" t="s">
        <v>690</v>
      </c>
      <c r="H53" s="238">
        <v>1</v>
      </c>
      <c r="I53" s="237" t="s">
        <v>692</v>
      </c>
      <c r="J53" s="234">
        <f t="shared" ca="1" si="0"/>
        <v>13.5</v>
      </c>
      <c r="K53" s="235">
        <f t="shared" ca="1" si="1"/>
        <v>27</v>
      </c>
      <c r="L53" s="236">
        <f t="shared" ca="1" si="2"/>
        <v>13.5</v>
      </c>
      <c r="M53" s="224"/>
    </row>
    <row r="54" spans="1:13" s="115" customFormat="1" ht="22.5" customHeight="1">
      <c r="A54" s="118"/>
      <c r="B54" s="118"/>
      <c r="C54" s="231" t="s">
        <v>593</v>
      </c>
      <c r="D54" s="230"/>
      <c r="E54" s="231"/>
      <c r="F54" s="230"/>
      <c r="G54" s="239" t="s">
        <v>302</v>
      </c>
      <c r="H54" s="238">
        <v>1</v>
      </c>
      <c r="I54" s="176" t="s">
        <v>693</v>
      </c>
      <c r="J54" s="234">
        <f t="shared" ca="1" si="0"/>
        <v>39</v>
      </c>
      <c r="K54" s="235">
        <f t="shared" ca="1" si="1"/>
        <v>0</v>
      </c>
      <c r="L54" s="236">
        <f t="shared" ca="1" si="2"/>
        <v>0</v>
      </c>
      <c r="M54" s="224"/>
    </row>
    <row r="55" spans="1:13" s="115" customFormat="1" ht="22.5" customHeight="1">
      <c r="A55" s="118"/>
      <c r="B55" s="118"/>
      <c r="C55" s="231" t="s">
        <v>593</v>
      </c>
      <c r="D55" s="230"/>
      <c r="E55" s="231"/>
      <c r="F55" s="230"/>
      <c r="G55" s="239" t="s">
        <v>304</v>
      </c>
      <c r="H55" s="238">
        <v>1</v>
      </c>
      <c r="I55" s="176">
        <v>9</v>
      </c>
      <c r="J55" s="234">
        <f t="shared" ca="1" si="0"/>
        <v>9</v>
      </c>
      <c r="K55" s="235">
        <f t="shared" ca="1" si="1"/>
        <v>0</v>
      </c>
      <c r="L55" s="236">
        <f t="shared" ca="1" si="2"/>
        <v>0</v>
      </c>
      <c r="M55" s="224"/>
    </row>
    <row r="56" spans="1:13" s="115" customFormat="1" ht="22.5" customHeight="1">
      <c r="A56" s="118"/>
      <c r="B56" s="118"/>
      <c r="C56" s="231" t="s">
        <v>593</v>
      </c>
      <c r="D56" s="230"/>
      <c r="E56" s="231"/>
      <c r="F56" s="230"/>
      <c r="G56" s="239" t="s">
        <v>523</v>
      </c>
      <c r="H56" s="238">
        <v>1</v>
      </c>
      <c r="I56" s="176">
        <v>9</v>
      </c>
      <c r="J56" s="234">
        <f t="shared" ca="1" si="0"/>
        <v>9</v>
      </c>
      <c r="K56" s="235">
        <f t="shared" ca="1" si="1"/>
        <v>0</v>
      </c>
      <c r="L56" s="236">
        <f t="shared" ca="1" si="2"/>
        <v>0</v>
      </c>
      <c r="M56" s="224"/>
    </row>
    <row r="57" spans="1:13" s="115" customFormat="1" ht="22.5" customHeight="1">
      <c r="A57" s="118"/>
      <c r="B57" s="118"/>
      <c r="C57" s="231" t="s">
        <v>593</v>
      </c>
      <c r="D57" s="230"/>
      <c r="E57" s="231"/>
      <c r="F57" s="230"/>
      <c r="G57" s="239" t="s">
        <v>662</v>
      </c>
      <c r="H57" s="238">
        <v>1</v>
      </c>
      <c r="I57" s="176" t="s">
        <v>694</v>
      </c>
      <c r="J57" s="234">
        <f t="shared" ca="1" si="0"/>
        <v>7.4</v>
      </c>
      <c r="K57" s="235">
        <f t="shared" ca="1" si="1"/>
        <v>0</v>
      </c>
      <c r="L57" s="236">
        <f t="shared" ca="1" si="2"/>
        <v>0</v>
      </c>
      <c r="M57" s="224"/>
    </row>
    <row r="58" spans="1:13" s="115" customFormat="1" ht="22.5" customHeight="1">
      <c r="A58" s="118"/>
      <c r="B58" s="118"/>
      <c r="C58" s="231" t="s">
        <v>683</v>
      </c>
      <c r="D58" s="230"/>
      <c r="E58" s="231"/>
      <c r="F58" s="230"/>
      <c r="G58" s="123" t="s">
        <v>695</v>
      </c>
      <c r="H58" s="230">
        <v>1</v>
      </c>
      <c r="I58" s="176">
        <v>2.4</v>
      </c>
      <c r="J58" s="234">
        <f t="shared" ca="1" si="0"/>
        <v>2.4</v>
      </c>
      <c r="K58" s="235">
        <f t="shared" ca="1" si="1"/>
        <v>0</v>
      </c>
      <c r="L58" s="236">
        <f t="shared" ca="1" si="2"/>
        <v>0</v>
      </c>
      <c r="M58" s="224"/>
    </row>
    <row r="59" spans="1:13" s="115" customFormat="1" ht="22.5" customHeight="1">
      <c r="A59" s="118"/>
      <c r="B59" s="118"/>
      <c r="C59" s="231"/>
      <c r="D59" s="230"/>
      <c r="E59" s="231"/>
      <c r="F59" s="230"/>
      <c r="G59" s="123"/>
      <c r="H59" s="230"/>
      <c r="I59" s="176"/>
      <c r="J59" s="234"/>
      <c r="K59" s="235"/>
      <c r="L59" s="236"/>
      <c r="M59" s="224"/>
    </row>
    <row r="60" spans="1:13" s="115" customFormat="1" ht="22.5" customHeight="1">
      <c r="A60" s="118"/>
      <c r="B60" s="118"/>
      <c r="C60" s="231"/>
      <c r="D60" s="230"/>
      <c r="E60" s="231"/>
      <c r="F60" s="230"/>
      <c r="G60" s="123"/>
      <c r="H60" s="230"/>
      <c r="I60" s="176"/>
      <c r="J60" s="234"/>
      <c r="K60" s="235"/>
      <c r="L60" s="236"/>
      <c r="M60" s="224"/>
    </row>
    <row r="61" spans="1:13" s="115" customFormat="1" ht="22.5" customHeight="1">
      <c r="A61" s="118"/>
      <c r="B61" s="118"/>
      <c r="C61" s="231"/>
      <c r="D61" s="230"/>
      <c r="E61" s="231"/>
      <c r="F61" s="230"/>
      <c r="G61" s="123"/>
      <c r="H61" s="230"/>
      <c r="I61" s="176"/>
      <c r="J61" s="234"/>
      <c r="K61" s="235"/>
      <c r="L61" s="236"/>
      <c r="M61" s="224"/>
    </row>
    <row r="62" spans="1:13" s="115" customFormat="1" ht="22.5" customHeight="1">
      <c r="A62" s="118"/>
      <c r="B62" s="118"/>
      <c r="C62" s="231"/>
      <c r="D62" s="230"/>
      <c r="E62" s="231"/>
      <c r="F62" s="230"/>
      <c r="G62" s="123"/>
      <c r="H62" s="230"/>
      <c r="I62" s="176"/>
      <c r="J62" s="234"/>
      <c r="K62" s="235"/>
      <c r="L62" s="236"/>
      <c r="M62" s="224"/>
    </row>
    <row r="63" spans="1:13" s="115" customFormat="1" ht="22.5" customHeight="1">
      <c r="A63" s="118"/>
      <c r="B63" s="118"/>
      <c r="C63" s="231"/>
      <c r="D63" s="230"/>
      <c r="E63" s="231"/>
      <c r="F63" s="230"/>
      <c r="G63" s="123"/>
      <c r="H63" s="230"/>
      <c r="I63" s="176"/>
      <c r="J63" s="234"/>
      <c r="K63" s="235"/>
      <c r="L63" s="236"/>
      <c r="M63" s="224"/>
    </row>
    <row r="64" spans="1:13" s="115" customFormat="1" ht="22.5" customHeight="1">
      <c r="A64" s="118"/>
      <c r="B64" s="118"/>
      <c r="C64" s="231"/>
      <c r="D64" s="230"/>
      <c r="E64" s="231"/>
      <c r="F64" s="230"/>
      <c r="G64" s="123"/>
      <c r="H64" s="230"/>
      <c r="I64" s="176"/>
      <c r="J64" s="234"/>
      <c r="K64" s="235"/>
      <c r="L64" s="236"/>
      <c r="M64" s="224"/>
    </row>
    <row r="65" spans="1:13" s="115" customFormat="1" ht="22.5" customHeight="1">
      <c r="A65" s="118"/>
      <c r="B65" s="118"/>
      <c r="C65" s="231"/>
      <c r="D65" s="230"/>
      <c r="E65" s="231"/>
      <c r="F65" s="230"/>
      <c r="G65" s="123"/>
      <c r="H65" s="230"/>
      <c r="I65" s="176"/>
      <c r="J65" s="225"/>
      <c r="K65" s="228"/>
      <c r="L65" s="229"/>
      <c r="M65" s="224"/>
    </row>
    <row r="66" spans="1:13" s="115" customFormat="1" ht="22.5" customHeight="1">
      <c r="A66" s="118"/>
      <c r="B66" s="118"/>
      <c r="C66" s="231"/>
      <c r="D66" s="230"/>
      <c r="E66" s="231"/>
      <c r="F66" s="230"/>
      <c r="G66" s="123"/>
      <c r="H66" s="230"/>
      <c r="I66" s="176"/>
      <c r="J66" s="225"/>
      <c r="K66" s="228"/>
      <c r="L66" s="229"/>
      <c r="M66" s="224"/>
    </row>
    <row r="67" spans="1:13" s="115" customFormat="1" ht="22.5" customHeight="1">
      <c r="A67" s="118"/>
      <c r="B67" s="118"/>
      <c r="C67" s="231"/>
      <c r="D67" s="230"/>
      <c r="E67" s="231"/>
      <c r="F67" s="230"/>
      <c r="G67" s="123"/>
      <c r="H67" s="230"/>
      <c r="I67" s="176"/>
      <c r="J67" s="225"/>
      <c r="K67" s="228"/>
      <c r="L67" s="229"/>
      <c r="M67" s="224"/>
    </row>
    <row r="68" spans="1:13" s="115" customFormat="1" ht="22.5" customHeight="1">
      <c r="A68" s="118"/>
      <c r="B68" s="118"/>
      <c r="C68" s="231"/>
      <c r="D68" s="230"/>
      <c r="E68" s="231"/>
      <c r="F68" s="230"/>
      <c r="G68" s="123"/>
      <c r="H68" s="230"/>
      <c r="I68" s="176"/>
      <c r="J68" s="225"/>
      <c r="K68" s="228"/>
      <c r="L68" s="229"/>
      <c r="M68" s="224"/>
    </row>
    <row r="69" spans="1:13" s="115" customFormat="1" ht="22.5" customHeight="1">
      <c r="A69" s="118"/>
      <c r="B69" s="118"/>
      <c r="C69" s="231"/>
      <c r="D69" s="230"/>
      <c r="E69" s="231"/>
      <c r="F69" s="230"/>
      <c r="G69" s="123"/>
      <c r="H69" s="230"/>
      <c r="I69" s="176"/>
      <c r="J69" s="225"/>
      <c r="K69" s="228"/>
      <c r="L69" s="229"/>
      <c r="M69" s="224"/>
    </row>
    <row r="70" spans="1:13" s="115" customFormat="1" ht="22.5" customHeight="1">
      <c r="A70" s="118"/>
      <c r="B70" s="118"/>
      <c r="C70" s="231"/>
      <c r="D70" s="230"/>
      <c r="E70" s="231"/>
      <c r="F70" s="230"/>
      <c r="G70" s="123"/>
      <c r="H70" s="230"/>
      <c r="I70" s="176"/>
      <c r="J70" s="225"/>
      <c r="K70" s="228"/>
      <c r="L70" s="229"/>
      <c r="M70" s="224"/>
    </row>
    <row r="71" spans="1:13" s="115" customFormat="1" ht="22.5" customHeight="1">
      <c r="A71" s="99"/>
      <c r="B71" s="118"/>
      <c r="C71" s="231"/>
      <c r="D71" s="230"/>
      <c r="E71" s="231"/>
      <c r="F71" s="230"/>
      <c r="G71" s="123"/>
      <c r="H71" s="230"/>
      <c r="I71" s="176"/>
      <c r="J71" s="225"/>
      <c r="K71" s="228"/>
      <c r="L71" s="229"/>
      <c r="M71" s="224"/>
    </row>
    <row r="72" spans="1:13" s="115" customFormat="1" ht="22.5" customHeight="1">
      <c r="A72" s="99"/>
      <c r="B72" s="118"/>
      <c r="C72" s="231"/>
      <c r="D72" s="230"/>
      <c r="E72" s="231"/>
      <c r="F72" s="230"/>
      <c r="G72" s="123"/>
      <c r="H72" s="230"/>
      <c r="I72" s="176"/>
      <c r="J72" s="225"/>
      <c r="K72" s="228"/>
      <c r="L72" s="229"/>
      <c r="M72" s="224"/>
    </row>
    <row r="73" spans="1:13" s="115" customFormat="1" ht="22.5" customHeight="1">
      <c r="A73" s="99"/>
      <c r="B73" s="118"/>
      <c r="C73" s="110"/>
      <c r="D73" s="226"/>
      <c r="E73" s="231"/>
      <c r="F73" s="230"/>
      <c r="G73" s="123"/>
      <c r="H73" s="230"/>
      <c r="I73" s="176"/>
      <c r="J73" s="225"/>
      <c r="K73" s="228"/>
      <c r="L73" s="229"/>
      <c r="M73" s="224"/>
    </row>
    <row r="74" spans="1:13" s="115" customFormat="1" ht="22.5" customHeight="1">
      <c r="A74" s="213"/>
      <c r="B74" s="214"/>
      <c r="C74" s="215"/>
      <c r="D74" s="216"/>
      <c r="E74" s="215"/>
      <c r="F74" s="216"/>
      <c r="G74" s="215"/>
      <c r="H74" s="216"/>
      <c r="I74" s="233"/>
      <c r="J74" s="212"/>
      <c r="K74" s="218"/>
      <c r="L74" s="219"/>
    </row>
    <row r="75" spans="1:13" s="115" customFormat="1" ht="22.5" customHeight="1">
      <c r="A75" s="213"/>
      <c r="B75" s="214"/>
      <c r="C75" s="215"/>
      <c r="D75" s="216"/>
      <c r="E75" s="215"/>
      <c r="F75" s="216"/>
      <c r="G75" s="215"/>
      <c r="H75" s="216"/>
      <c r="I75" s="217"/>
      <c r="J75" s="212"/>
      <c r="K75" s="218"/>
      <c r="L75" s="219"/>
    </row>
    <row r="76" spans="1:13" s="115" customFormat="1" ht="22.5" customHeight="1">
      <c r="A76" s="213"/>
      <c r="B76" s="214"/>
      <c r="C76" s="215"/>
      <c r="D76" s="216"/>
      <c r="E76" s="215"/>
      <c r="F76" s="216"/>
      <c r="G76" s="215"/>
      <c r="H76" s="216"/>
      <c r="I76" s="217"/>
      <c r="J76" s="212"/>
      <c r="K76" s="218"/>
      <c r="L76" s="219"/>
    </row>
    <row r="77" spans="1:13" s="115" customFormat="1" ht="22.5" customHeight="1">
      <c r="A77" s="213"/>
      <c r="B77" s="214"/>
      <c r="C77" s="215"/>
      <c r="D77" s="216"/>
      <c r="E77" s="215"/>
      <c r="F77" s="216"/>
      <c r="G77" s="215"/>
      <c r="H77" s="216"/>
      <c r="I77" s="217"/>
      <c r="J77" s="212"/>
      <c r="K77" s="218"/>
      <c r="L77" s="219"/>
    </row>
    <row r="78" spans="1:13" s="115" customFormat="1" ht="22.5" customHeight="1">
      <c r="A78" s="213"/>
      <c r="B78" s="214"/>
      <c r="C78" s="215"/>
      <c r="D78" s="216"/>
      <c r="E78" s="215"/>
      <c r="F78" s="216"/>
      <c r="G78" s="215"/>
      <c r="H78" s="216"/>
      <c r="I78" s="217"/>
      <c r="J78" s="212"/>
      <c r="K78" s="218"/>
      <c r="L78" s="219"/>
    </row>
    <row r="79" spans="1:13" s="115" customFormat="1" ht="22.5" customHeight="1">
      <c r="A79" s="213"/>
      <c r="B79" s="214"/>
      <c r="C79" s="215"/>
      <c r="D79" s="216"/>
      <c r="E79" s="215"/>
      <c r="F79" s="216"/>
      <c r="G79" s="215"/>
      <c r="H79" s="216"/>
      <c r="I79" s="217"/>
      <c r="J79" s="212"/>
      <c r="K79" s="218"/>
      <c r="L79" s="219"/>
    </row>
    <row r="80" spans="1:13" s="115" customFormat="1" ht="22.5" customHeight="1">
      <c r="A80" s="213"/>
      <c r="B80" s="214"/>
      <c r="C80" s="215"/>
      <c r="D80" s="216"/>
      <c r="E80" s="215"/>
      <c r="F80" s="216"/>
      <c r="G80" s="215"/>
      <c r="H80" s="216"/>
      <c r="I80" s="217"/>
      <c r="J80" s="212"/>
      <c r="K80" s="218"/>
      <c r="L80" s="219"/>
    </row>
    <row r="81" spans="1:12" s="115" customFormat="1" ht="22.5" customHeight="1">
      <c r="A81" s="213"/>
      <c r="B81" s="214"/>
      <c r="C81" s="215"/>
      <c r="D81" s="216"/>
      <c r="E81" s="215"/>
      <c r="F81" s="216"/>
      <c r="G81" s="215"/>
      <c r="H81" s="216"/>
      <c r="I81" s="217"/>
      <c r="J81" s="212"/>
      <c r="K81" s="218"/>
      <c r="L81" s="219"/>
    </row>
    <row r="82" spans="1:12" s="115" customFormat="1" ht="22.5" customHeight="1">
      <c r="A82" s="213"/>
      <c r="B82" s="214"/>
      <c r="C82" s="215"/>
      <c r="D82" s="216"/>
      <c r="E82" s="215"/>
      <c r="F82" s="216"/>
      <c r="G82" s="215"/>
      <c r="H82" s="216"/>
      <c r="I82" s="217"/>
      <c r="J82" s="212"/>
      <c r="K82" s="218"/>
      <c r="L82" s="219"/>
    </row>
    <row r="83" spans="1:12" s="115" customFormat="1" ht="22.5" customHeight="1">
      <c r="A83" s="213"/>
      <c r="B83" s="214"/>
      <c r="C83" s="215"/>
      <c r="D83" s="216"/>
      <c r="E83" s="215"/>
      <c r="F83" s="216"/>
      <c r="G83" s="215"/>
      <c r="H83" s="216"/>
      <c r="I83" s="217"/>
      <c r="J83" s="212"/>
      <c r="K83" s="218"/>
      <c r="L83" s="219"/>
    </row>
    <row r="84" spans="1:12" s="115" customFormat="1" ht="22.5" customHeight="1">
      <c r="A84" s="213"/>
      <c r="B84" s="214"/>
      <c r="C84" s="215"/>
      <c r="D84" s="216"/>
      <c r="E84" s="215"/>
      <c r="F84" s="216"/>
      <c r="G84" s="215"/>
      <c r="H84" s="216"/>
      <c r="I84" s="217"/>
      <c r="J84" s="212"/>
      <c r="K84" s="218"/>
      <c r="L84" s="219"/>
    </row>
    <row r="85" spans="1:12" s="115" customFormat="1" ht="22.5" customHeight="1">
      <c r="A85" s="213"/>
      <c r="B85" s="214"/>
      <c r="C85" s="215"/>
      <c r="D85" s="216"/>
      <c r="E85" s="215"/>
      <c r="F85" s="216"/>
      <c r="G85" s="215"/>
      <c r="H85" s="216"/>
      <c r="I85" s="217"/>
      <c r="J85" s="212"/>
      <c r="K85" s="218"/>
      <c r="L85" s="219"/>
    </row>
    <row r="86" spans="1:12" s="115" customFormat="1" ht="22.5" customHeight="1">
      <c r="A86" s="213"/>
      <c r="B86" s="214"/>
      <c r="C86" s="215"/>
      <c r="D86" s="216"/>
      <c r="E86" s="215"/>
      <c r="F86" s="216"/>
      <c r="G86" s="215"/>
      <c r="H86" s="216"/>
      <c r="I86" s="217"/>
      <c r="J86" s="212"/>
      <c r="K86" s="218"/>
      <c r="L86" s="219"/>
    </row>
  </sheetData>
  <mergeCells count="2">
    <mergeCell ref="C2:H2"/>
    <mergeCell ref="K2:L2"/>
  </mergeCells>
  <phoneticPr fontId="4" type="noConversion"/>
  <pageMargins left="0.69" right="0" top="0.78740157480314965" bottom="0.27" header="0.51181102362204722" footer="0.19685039370078741"/>
  <pageSetup paperSize="9" scale="90" orientation="landscape" horizontalDpi="4294967292" verticalDpi="300" r:id="rId1"/>
  <headerFooter alignWithMargins="0">
    <oddHeader>&amp;C&amp;"돋움,굵게"&amp;14전선관 및 전선 산출근거서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20"/>
  <sheetViews>
    <sheetView showZeros="0" view="pageBreakPreview" workbookViewId="0">
      <selection activeCell="D13" sqref="D13"/>
    </sheetView>
  </sheetViews>
  <sheetFormatPr defaultRowHeight="13.5"/>
  <sheetData>
    <row r="1" spans="1:13" s="133" customFormat="1" ht="24" customHeight="1"/>
    <row r="2" spans="1:13" s="134" customFormat="1" ht="24" customHeight="1"/>
    <row r="3" spans="1:13" s="133" customFormat="1" ht="30.95" customHeight="1">
      <c r="A3" s="653" t="str">
        <f>표지1!A3</f>
        <v>두류지하도상가 비상발전기 설치 전기공사</v>
      </c>
      <c r="B3" s="653"/>
      <c r="C3" s="653"/>
      <c r="D3" s="653"/>
      <c r="E3" s="653"/>
      <c r="F3" s="653"/>
      <c r="G3" s="653"/>
      <c r="H3" s="653"/>
      <c r="I3" s="653"/>
      <c r="J3" s="653"/>
      <c r="K3" s="653"/>
      <c r="L3" s="653"/>
      <c r="M3" s="653"/>
    </row>
    <row r="4" spans="1:13" s="133" customFormat="1" ht="21" customHeight="1"/>
    <row r="5" spans="1:13" s="133" customFormat="1" ht="27" customHeight="1">
      <c r="A5" s="653" t="s">
        <v>379</v>
      </c>
      <c r="B5" s="653"/>
      <c r="C5" s="653"/>
      <c r="D5" s="653"/>
      <c r="E5" s="653"/>
      <c r="F5" s="653"/>
      <c r="G5" s="653"/>
      <c r="H5" s="653"/>
      <c r="I5" s="653"/>
      <c r="J5" s="653"/>
      <c r="K5" s="653"/>
      <c r="L5" s="653"/>
      <c r="M5" s="653"/>
    </row>
    <row r="6" spans="1:13" s="133" customFormat="1" ht="24" customHeight="1"/>
    <row r="7" spans="1:13" s="133" customFormat="1" ht="24" customHeight="1"/>
    <row r="8" spans="1:13" s="133" customFormat="1" ht="24" customHeight="1"/>
    <row r="9" spans="1:13" s="133" customFormat="1" ht="24" customHeight="1"/>
    <row r="10" spans="1:13" s="133" customFormat="1" ht="24" customHeight="1"/>
    <row r="11" spans="1:13" s="133" customFormat="1" ht="24" customHeight="1">
      <c r="A11" s="653" t="str">
        <f>표지1!A11</f>
        <v>2026.      4.</v>
      </c>
      <c r="B11" s="653"/>
      <c r="C11" s="653"/>
      <c r="D11" s="653"/>
      <c r="E11" s="653"/>
      <c r="F11" s="653"/>
      <c r="G11" s="653"/>
      <c r="H11" s="653"/>
      <c r="I11" s="653"/>
      <c r="J11" s="653"/>
      <c r="K11" s="653"/>
      <c r="L11" s="653"/>
      <c r="M11" s="653"/>
    </row>
    <row r="12" spans="1:13" s="133" customFormat="1" ht="24" customHeight="1"/>
    <row r="13" spans="1:13" s="133" customFormat="1" ht="24" customHeight="1"/>
    <row r="14" spans="1:13" s="133" customFormat="1" ht="24" customHeight="1"/>
    <row r="15" spans="1:13" s="133" customFormat="1" ht="24" customHeight="1"/>
    <row r="16" spans="1:13" s="133" customFormat="1" ht="24" customHeight="1"/>
    <row r="17" spans="1:13" s="133" customFormat="1" ht="24" customHeight="1">
      <c r="A17" s="653">
        <f>표지1!A17</f>
        <v>0</v>
      </c>
      <c r="B17" s="653"/>
      <c r="C17" s="653"/>
      <c r="D17" s="653"/>
      <c r="E17" s="653"/>
      <c r="F17" s="653"/>
      <c r="G17" s="653"/>
      <c r="H17" s="653"/>
      <c r="I17" s="653"/>
      <c r="J17" s="653"/>
      <c r="K17" s="653"/>
      <c r="L17" s="653"/>
      <c r="M17" s="653"/>
    </row>
    <row r="18" spans="1:13" s="133" customFormat="1" ht="24" customHeight="1"/>
    <row r="19" spans="1:13" s="133" customFormat="1" ht="24" customHeight="1"/>
    <row r="20" spans="1:13" s="13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V47"/>
  <sheetViews>
    <sheetView showGridLines="0" showZeros="0" view="pageBreakPreview" zoomScale="90" workbookViewId="0">
      <selection activeCell="D13" sqref="D13:D14"/>
    </sheetView>
  </sheetViews>
  <sheetFormatPr defaultRowHeight="13.5"/>
  <cols>
    <col min="1" max="2" width="3.77734375" style="195" customWidth="1"/>
    <col min="3" max="3" width="4.77734375" style="195" customWidth="1"/>
    <col min="4" max="4" width="3.77734375" style="195" customWidth="1"/>
    <col min="5" max="5" width="2.6640625" style="195" customWidth="1"/>
    <col min="6" max="6" width="7.88671875" style="195" customWidth="1"/>
    <col min="7" max="7" width="2.5546875" style="195" customWidth="1"/>
    <col min="8" max="8" width="3.77734375" style="195" customWidth="1"/>
    <col min="9" max="9" width="4.77734375" style="195" customWidth="1"/>
    <col min="10" max="18" width="3.77734375" style="195" customWidth="1"/>
    <col min="19" max="22" width="8" style="195" customWidth="1"/>
    <col min="23" max="16384" width="8.88671875" style="195"/>
  </cols>
  <sheetData>
    <row r="1" spans="1:22">
      <c r="A1" s="192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4"/>
    </row>
    <row r="2" spans="1:22">
      <c r="A2" s="196"/>
      <c r="V2" s="197"/>
    </row>
    <row r="3" spans="1:22" ht="18.75">
      <c r="A3" s="196"/>
      <c r="C3" s="198" t="s">
        <v>591</v>
      </c>
      <c r="V3" s="197"/>
    </row>
    <row r="4" spans="1:22">
      <c r="A4" s="196"/>
      <c r="V4" s="197"/>
    </row>
    <row r="5" spans="1:22">
      <c r="A5" s="199"/>
      <c r="B5" s="200"/>
      <c r="C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1"/>
    </row>
    <row r="6" spans="1:22" ht="37.5" customHeight="1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4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4"/>
    </row>
    <row r="7" spans="1:22">
      <c r="A7" s="196"/>
      <c r="K7" s="197"/>
      <c r="V7" s="197"/>
    </row>
    <row r="8" spans="1:22">
      <c r="A8" s="196"/>
      <c r="K8" s="197"/>
      <c r="V8" s="197"/>
    </row>
    <row r="9" spans="1:22">
      <c r="A9" s="196"/>
      <c r="K9" s="197"/>
      <c r="V9" s="197"/>
    </row>
    <row r="10" spans="1:22">
      <c r="A10" s="196"/>
      <c r="K10" s="197"/>
      <c r="V10" s="197"/>
    </row>
    <row r="11" spans="1:22" ht="14.25">
      <c r="A11" s="196"/>
      <c r="D11" s="196"/>
      <c r="F11" s="202">
        <v>500</v>
      </c>
      <c r="H11" s="197"/>
      <c r="K11" s="197"/>
      <c r="V11" s="197"/>
    </row>
    <row r="12" spans="1:22">
      <c r="A12" s="196"/>
      <c r="C12" s="200"/>
      <c r="I12" s="200"/>
      <c r="K12" s="197"/>
      <c r="V12" s="197"/>
    </row>
    <row r="13" spans="1:22" ht="128.25" customHeight="1">
      <c r="A13" s="196"/>
      <c r="D13" s="654"/>
      <c r="H13" s="655"/>
      <c r="I13" s="203"/>
      <c r="K13" s="204"/>
      <c r="V13" s="197"/>
    </row>
    <row r="14" spans="1:22" ht="21" customHeight="1">
      <c r="A14" s="196"/>
      <c r="B14" s="205"/>
      <c r="D14" s="654"/>
      <c r="E14" s="200"/>
      <c r="F14" s="206"/>
      <c r="G14" s="200"/>
      <c r="H14" s="655"/>
      <c r="I14" s="200"/>
      <c r="K14" s="197"/>
      <c r="V14" s="197"/>
    </row>
    <row r="15" spans="1:22">
      <c r="A15" s="196"/>
      <c r="K15" s="197"/>
      <c r="V15" s="197"/>
    </row>
    <row r="16" spans="1:22">
      <c r="A16" s="196"/>
      <c r="E16" s="196"/>
      <c r="F16" s="207">
        <v>300</v>
      </c>
      <c r="G16" s="197"/>
      <c r="K16" s="197"/>
      <c r="V16" s="197"/>
    </row>
    <row r="17" spans="1:22">
      <c r="A17" s="196"/>
      <c r="K17" s="197"/>
      <c r="V17" s="197"/>
    </row>
    <row r="18" spans="1:22">
      <c r="A18" s="196"/>
      <c r="K18" s="197"/>
      <c r="V18" s="197"/>
    </row>
    <row r="19" spans="1:22">
      <c r="A19" s="196"/>
      <c r="K19" s="197"/>
      <c r="V19" s="197"/>
    </row>
    <row r="20" spans="1:22">
      <c r="A20" s="196"/>
      <c r="K20" s="197"/>
      <c r="V20" s="197"/>
    </row>
    <row r="21" spans="1:22">
      <c r="A21" s="196"/>
      <c r="K21" s="197"/>
      <c r="V21" s="197"/>
    </row>
    <row r="22" spans="1:22">
      <c r="A22" s="196"/>
      <c r="K22" s="197"/>
      <c r="V22" s="197"/>
    </row>
    <row r="23" spans="1:22">
      <c r="A23" s="196"/>
      <c r="K23" s="197"/>
      <c r="V23" s="197"/>
    </row>
    <row r="24" spans="1:22">
      <c r="A24" s="199"/>
      <c r="B24" s="200"/>
      <c r="C24" s="200"/>
      <c r="D24" s="200"/>
      <c r="E24" s="200"/>
      <c r="F24" s="200"/>
      <c r="G24" s="200"/>
      <c r="H24" s="200"/>
      <c r="I24" s="200"/>
      <c r="J24" s="200"/>
      <c r="K24" s="201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1"/>
    </row>
    <row r="25" spans="1:22" hidden="1">
      <c r="A25" s="192"/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93"/>
      <c r="R25" s="193"/>
      <c r="S25" s="193"/>
      <c r="T25" s="193"/>
      <c r="U25" s="193"/>
      <c r="V25" s="194"/>
    </row>
    <row r="26" spans="1:22" hidden="1">
      <c r="A26" s="196"/>
      <c r="V26" s="197"/>
    </row>
    <row r="27" spans="1:22" ht="18.75" hidden="1">
      <c r="A27" s="196"/>
      <c r="C27" s="198" t="s">
        <v>592</v>
      </c>
      <c r="V27" s="197"/>
    </row>
    <row r="28" spans="1:22" hidden="1">
      <c r="A28" s="196"/>
      <c r="V28" s="197"/>
    </row>
    <row r="29" spans="1:22" hidden="1">
      <c r="A29" s="199"/>
      <c r="B29" s="200"/>
      <c r="C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1"/>
    </row>
    <row r="30" spans="1:22" ht="30.75" hidden="1" customHeight="1">
      <c r="A30" s="192"/>
      <c r="B30" s="193"/>
      <c r="C30" s="193"/>
      <c r="D30" s="193"/>
      <c r="E30" s="193"/>
      <c r="F30" s="193"/>
      <c r="G30" s="193"/>
      <c r="H30" s="193"/>
      <c r="I30" s="193"/>
      <c r="J30" s="193"/>
      <c r="K30" s="194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4"/>
    </row>
    <row r="31" spans="1:22" hidden="1">
      <c r="A31" s="196"/>
      <c r="K31" s="197"/>
      <c r="V31" s="197"/>
    </row>
    <row r="32" spans="1:22" hidden="1">
      <c r="A32" s="196"/>
      <c r="K32" s="197"/>
      <c r="V32" s="197"/>
    </row>
    <row r="33" spans="1:22" hidden="1">
      <c r="A33" s="196"/>
      <c r="K33" s="197"/>
      <c r="V33" s="197"/>
    </row>
    <row r="34" spans="1:22" hidden="1">
      <c r="A34" s="196"/>
      <c r="K34" s="197"/>
      <c r="V34" s="197"/>
    </row>
    <row r="35" spans="1:22" ht="14.25" hidden="1">
      <c r="A35" s="196"/>
      <c r="D35" s="196"/>
      <c r="F35" s="202">
        <v>860</v>
      </c>
      <c r="H35" s="197"/>
      <c r="K35" s="197"/>
      <c r="V35" s="197"/>
    </row>
    <row r="36" spans="1:22" hidden="1">
      <c r="A36" s="196"/>
      <c r="C36" s="200"/>
      <c r="I36" s="200"/>
      <c r="K36" s="197"/>
      <c r="V36" s="197"/>
    </row>
    <row r="37" spans="1:22" ht="139.5" hidden="1" customHeight="1">
      <c r="A37" s="196"/>
      <c r="D37" s="654"/>
      <c r="H37" s="655"/>
      <c r="I37" s="203"/>
      <c r="K37" s="204"/>
      <c r="V37" s="197"/>
    </row>
    <row r="38" spans="1:22" ht="21" hidden="1" customHeight="1">
      <c r="A38" s="196"/>
      <c r="B38" s="205"/>
      <c r="D38" s="654"/>
      <c r="E38" s="200"/>
      <c r="F38" s="206"/>
      <c r="G38" s="200"/>
      <c r="H38" s="655"/>
      <c r="I38" s="200"/>
      <c r="K38" s="197"/>
      <c r="V38" s="197"/>
    </row>
    <row r="39" spans="1:22" hidden="1">
      <c r="A39" s="196"/>
      <c r="K39" s="197"/>
      <c r="V39" s="197"/>
    </row>
    <row r="40" spans="1:22" hidden="1">
      <c r="A40" s="196"/>
      <c r="E40" s="196"/>
      <c r="F40" s="207">
        <v>500</v>
      </c>
      <c r="G40" s="197"/>
      <c r="K40" s="197"/>
      <c r="V40" s="197"/>
    </row>
    <row r="41" spans="1:22" hidden="1">
      <c r="A41" s="196"/>
      <c r="K41" s="197"/>
      <c r="V41" s="197"/>
    </row>
    <row r="42" spans="1:22" hidden="1">
      <c r="A42" s="196"/>
      <c r="K42" s="197"/>
      <c r="V42" s="197"/>
    </row>
    <row r="43" spans="1:22" ht="14.25" hidden="1" customHeight="1">
      <c r="A43" s="196"/>
      <c r="K43" s="197"/>
      <c r="V43" s="197"/>
    </row>
    <row r="44" spans="1:22" hidden="1">
      <c r="A44" s="196"/>
      <c r="K44" s="197"/>
      <c r="V44" s="197"/>
    </row>
    <row r="45" spans="1:22" hidden="1">
      <c r="A45" s="196"/>
      <c r="K45" s="197"/>
      <c r="V45" s="197"/>
    </row>
    <row r="46" spans="1:22" hidden="1">
      <c r="A46" s="196"/>
      <c r="K46" s="197"/>
      <c r="V46" s="197"/>
    </row>
    <row r="47" spans="1:22" hidden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1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1"/>
    </row>
  </sheetData>
  <mergeCells count="4">
    <mergeCell ref="D13:D14"/>
    <mergeCell ref="H13:H14"/>
    <mergeCell ref="D37:D38"/>
    <mergeCell ref="H37:H38"/>
  </mergeCells>
  <phoneticPr fontId="4" type="noConversion"/>
  <printOptions horizontalCentered="1"/>
  <pageMargins left="0.78740157480314965" right="0.19685039370078741" top="0.98425196850393704" bottom="0.56999999999999995" header="0.51181102362204722" footer="0.51181102362204722"/>
  <pageSetup paperSize="9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8"/>
  <dimension ref="A1:Q44"/>
  <sheetViews>
    <sheetView view="pageBreakPreview" topLeftCell="B1" zoomScaleNormal="115" zoomScaleSheetLayoutView="100" workbookViewId="0">
      <selection activeCell="P15" sqref="P15"/>
    </sheetView>
  </sheetViews>
  <sheetFormatPr defaultColWidth="8.33203125" defaultRowHeight="21.95" customHeight="1"/>
  <cols>
    <col min="1" max="7" width="8.33203125" style="244" customWidth="1"/>
    <col min="8" max="8" width="4.77734375" style="244" customWidth="1"/>
    <col min="9" max="9" width="10.77734375" style="244" customWidth="1"/>
    <col min="10" max="10" width="10.21875" style="244" customWidth="1"/>
    <col min="11" max="13" width="8.33203125" style="244" customWidth="1"/>
    <col min="14" max="14" width="12.109375" style="244" customWidth="1"/>
    <col min="15" max="16384" width="8.33203125" style="244"/>
  </cols>
  <sheetData>
    <row r="1" spans="1:17" ht="21.95" customHeight="1">
      <c r="A1" s="240"/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2"/>
      <c r="O1" s="243" t="s">
        <v>634</v>
      </c>
    </row>
    <row r="2" spans="1:17" ht="21.95" customHeight="1">
      <c r="A2" s="245"/>
      <c r="B2" s="244" t="s">
        <v>660</v>
      </c>
      <c r="N2" s="246"/>
      <c r="O2" s="244" t="s">
        <v>635</v>
      </c>
    </row>
    <row r="3" spans="1:17" ht="21.95" customHeight="1">
      <c r="A3" s="247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9"/>
      <c r="O3" s="243" t="s">
        <v>636</v>
      </c>
    </row>
    <row r="4" spans="1:17" ht="21.95" customHeight="1">
      <c r="A4" s="658"/>
      <c r="B4" s="659"/>
      <c r="C4" s="659"/>
      <c r="D4" s="659"/>
      <c r="E4" s="659"/>
      <c r="F4" s="659"/>
      <c r="G4" s="660"/>
      <c r="H4" s="250"/>
      <c r="I4" s="662" t="s">
        <v>637</v>
      </c>
      <c r="J4" s="662"/>
      <c r="K4" s="662"/>
      <c r="L4" s="662"/>
      <c r="M4" s="662"/>
      <c r="N4" s="663"/>
      <c r="O4" s="251" t="s">
        <v>638</v>
      </c>
      <c r="P4" s="251">
        <v>0.5</v>
      </c>
      <c r="Q4" s="251" t="s">
        <v>639</v>
      </c>
    </row>
    <row r="5" spans="1:17" ht="21.95" customHeight="1">
      <c r="A5" s="661"/>
      <c r="B5" s="662"/>
      <c r="C5" s="662"/>
      <c r="D5" s="662"/>
      <c r="E5" s="662"/>
      <c r="F5" s="662"/>
      <c r="G5" s="663"/>
      <c r="H5" s="252"/>
      <c r="I5" s="656" t="str">
        <f>CONCATENATE(P4," / ",6," x "," ( "," ( ",2," x ",P5," + ",P6," ) "," x ",P7," + "," ( ",2," x ",P6," + ",P5," ) "," x ",P8," )")</f>
        <v>0.5 / 6 x  (  ( 2 x 0.65 + 0.55 )  x 0.65 +  ( 2 x 0.55 + 0.65 )  x 0.55 )</v>
      </c>
      <c r="J5" s="656"/>
      <c r="K5" s="656"/>
      <c r="L5" s="656"/>
      <c r="M5" s="656"/>
      <c r="N5" s="657"/>
      <c r="O5" s="251" t="s">
        <v>640</v>
      </c>
      <c r="P5" s="251">
        <v>0.65</v>
      </c>
      <c r="Q5" s="251" t="s">
        <v>641</v>
      </c>
    </row>
    <row r="6" spans="1:17" ht="21.95" customHeight="1">
      <c r="A6" s="661"/>
      <c r="B6" s="662"/>
      <c r="C6" s="662"/>
      <c r="D6" s="662"/>
      <c r="E6" s="662"/>
      <c r="F6" s="662"/>
      <c r="G6" s="663"/>
      <c r="H6" s="252"/>
      <c r="I6" s="255">
        <f ca="1">ROUND((djs(I5,1)),3)</f>
        <v>0.18</v>
      </c>
      <c r="J6" s="256"/>
      <c r="K6" s="256"/>
      <c r="L6" s="256"/>
      <c r="M6" s="256"/>
      <c r="N6" s="257"/>
      <c r="O6" s="251" t="s">
        <v>642</v>
      </c>
      <c r="P6" s="251">
        <v>0.55000000000000004</v>
      </c>
      <c r="Q6" s="251" t="s">
        <v>643</v>
      </c>
    </row>
    <row r="7" spans="1:17" ht="21.95" customHeight="1">
      <c r="A7" s="661"/>
      <c r="B7" s="662"/>
      <c r="C7" s="662"/>
      <c r="D7" s="662"/>
      <c r="E7" s="662"/>
      <c r="F7" s="662"/>
      <c r="G7" s="663"/>
      <c r="H7" s="252"/>
      <c r="N7" s="246"/>
      <c r="O7" s="251" t="s">
        <v>644</v>
      </c>
      <c r="P7" s="251">
        <v>0.65</v>
      </c>
      <c r="Q7" s="251" t="s">
        <v>645</v>
      </c>
    </row>
    <row r="8" spans="1:17" ht="21.95" customHeight="1">
      <c r="A8" s="661"/>
      <c r="B8" s="662"/>
      <c r="C8" s="662"/>
      <c r="D8" s="662"/>
      <c r="E8" s="662"/>
      <c r="F8" s="662"/>
      <c r="G8" s="663"/>
      <c r="H8" s="252"/>
      <c r="I8" s="662" t="s">
        <v>661</v>
      </c>
      <c r="J8" s="662"/>
      <c r="K8" s="662"/>
      <c r="L8" s="662"/>
      <c r="M8" s="662"/>
      <c r="N8" s="663"/>
      <c r="O8" s="251" t="s">
        <v>647</v>
      </c>
      <c r="P8" s="251">
        <v>0.55000000000000004</v>
      </c>
      <c r="Q8" s="251" t="s">
        <v>648</v>
      </c>
    </row>
    <row r="9" spans="1:17" ht="21.95" customHeight="1">
      <c r="A9" s="661"/>
      <c r="B9" s="662"/>
      <c r="C9" s="662"/>
      <c r="D9" s="662"/>
      <c r="E9" s="662"/>
      <c r="F9" s="662"/>
      <c r="G9" s="663"/>
      <c r="H9" s="252"/>
      <c r="I9" s="656" t="str">
        <f>CONCATENATE(P10," / ",6," x "," ( "," ( ",2," x ",P11," + ",P12," ) "," x ",P13," + "," ( ",2," x ",P12," + ",P11," ) "," * ",P14," )")</f>
        <v>0.3 / 6 x  (  ( 2 x 0.3 + 0.4 )  x 0.3 +  ( 2 x 0.4 + 0.3 )  * 0.4 )</v>
      </c>
      <c r="J9" s="656"/>
      <c r="K9" s="656"/>
      <c r="L9" s="656"/>
      <c r="M9" s="656"/>
      <c r="N9" s="657"/>
      <c r="O9" s="243" t="s">
        <v>649</v>
      </c>
      <c r="P9" s="258"/>
      <c r="Q9" s="258"/>
    </row>
    <row r="10" spans="1:17" ht="21.95" customHeight="1">
      <c r="A10" s="661"/>
      <c r="B10" s="662"/>
      <c r="C10" s="662"/>
      <c r="D10" s="662"/>
      <c r="E10" s="662"/>
      <c r="F10" s="662"/>
      <c r="G10" s="663"/>
      <c r="H10" s="252"/>
      <c r="I10" s="255">
        <f ca="1">ROUND((djs(I9,1)),3)</f>
        <v>3.6999999999999998E-2</v>
      </c>
      <c r="J10" s="253"/>
      <c r="K10" s="253"/>
      <c r="L10" s="253"/>
      <c r="M10" s="253"/>
      <c r="N10" s="254"/>
      <c r="O10" s="251" t="s">
        <v>638</v>
      </c>
      <c r="P10" s="251">
        <v>0.3</v>
      </c>
      <c r="Q10" s="251" t="s">
        <v>639</v>
      </c>
    </row>
    <row r="11" spans="1:17" ht="21.95" customHeight="1">
      <c r="A11" s="661"/>
      <c r="B11" s="662"/>
      <c r="C11" s="662"/>
      <c r="D11" s="662"/>
      <c r="E11" s="662"/>
      <c r="F11" s="662"/>
      <c r="G11" s="663"/>
      <c r="H11" s="252"/>
      <c r="N11" s="246"/>
      <c r="O11" s="251" t="s">
        <v>640</v>
      </c>
      <c r="P11" s="251">
        <v>0.3</v>
      </c>
      <c r="Q11" s="251" t="s">
        <v>641</v>
      </c>
    </row>
    <row r="12" spans="1:17" ht="21.95" customHeight="1">
      <c r="A12" s="661"/>
      <c r="B12" s="662"/>
      <c r="C12" s="662"/>
      <c r="D12" s="662"/>
      <c r="E12" s="662"/>
      <c r="F12" s="662"/>
      <c r="G12" s="663"/>
      <c r="H12" s="252"/>
      <c r="I12" s="662" t="s">
        <v>650</v>
      </c>
      <c r="J12" s="662"/>
      <c r="K12" s="662"/>
      <c r="L12" s="662"/>
      <c r="M12" s="662"/>
      <c r="N12" s="663"/>
      <c r="O12" s="251" t="s">
        <v>642</v>
      </c>
      <c r="P12" s="251">
        <v>0.4</v>
      </c>
      <c r="Q12" s="251" t="s">
        <v>643</v>
      </c>
    </row>
    <row r="13" spans="1:17" ht="21.95" customHeight="1">
      <c r="A13" s="661"/>
      <c r="B13" s="662"/>
      <c r="C13" s="662"/>
      <c r="D13" s="662"/>
      <c r="E13" s="662"/>
      <c r="F13" s="662"/>
      <c r="G13" s="663"/>
      <c r="H13" s="252"/>
      <c r="I13" s="253" t="str">
        <f>CONCATENATE("( ","( ",P12," + ",P11," ) "," x ",P10," ) "," / ",2," x ",4)</f>
        <v>( ( 0.4 + 0.3 )  x 0.3 )  / 2 x 4</v>
      </c>
      <c r="N13" s="246"/>
      <c r="O13" s="251" t="s">
        <v>644</v>
      </c>
      <c r="P13" s="251">
        <v>0.3</v>
      </c>
      <c r="Q13" s="251" t="s">
        <v>645</v>
      </c>
    </row>
    <row r="14" spans="1:17" ht="21.95" customHeight="1">
      <c r="A14" s="661"/>
      <c r="B14" s="662"/>
      <c r="C14" s="662"/>
      <c r="D14" s="662"/>
      <c r="E14" s="662"/>
      <c r="F14" s="662"/>
      <c r="G14" s="663"/>
      <c r="H14" s="252"/>
      <c r="I14" s="255">
        <f ca="1">ROUND((djs(I13,1)),3)</f>
        <v>0.42</v>
      </c>
      <c r="J14" s="253"/>
      <c r="K14" s="253"/>
      <c r="L14" s="253"/>
      <c r="M14" s="253"/>
      <c r="N14" s="254"/>
      <c r="O14" s="251" t="s">
        <v>647</v>
      </c>
      <c r="P14" s="251">
        <v>0.4</v>
      </c>
      <c r="Q14" s="251" t="s">
        <v>648</v>
      </c>
    </row>
    <row r="15" spans="1:17" ht="21.95" customHeight="1">
      <c r="A15" s="661"/>
      <c r="B15" s="662"/>
      <c r="C15" s="662"/>
      <c r="D15" s="662"/>
      <c r="E15" s="662"/>
      <c r="F15" s="662"/>
      <c r="G15" s="663"/>
      <c r="H15" s="252"/>
      <c r="N15" s="246"/>
    </row>
    <row r="16" spans="1:17" ht="21.95" customHeight="1">
      <c r="A16" s="661"/>
      <c r="B16" s="662"/>
      <c r="C16" s="662"/>
      <c r="D16" s="662"/>
      <c r="E16" s="662"/>
      <c r="F16" s="662"/>
      <c r="G16" s="663"/>
      <c r="H16" s="252"/>
      <c r="I16" s="244" t="s">
        <v>651</v>
      </c>
      <c r="N16" s="246"/>
    </row>
    <row r="17" spans="1:17" ht="21.95" customHeight="1">
      <c r="A17" s="661"/>
      <c r="B17" s="662"/>
      <c r="C17" s="662"/>
      <c r="D17" s="662"/>
      <c r="E17" s="662"/>
      <c r="F17" s="662"/>
      <c r="G17" s="663"/>
      <c r="H17" s="252"/>
      <c r="I17" s="259" t="str">
        <f ca="1">CONCATENATE(djs(I6,1),"-",djs(I10,1))</f>
        <v>0.18-0.037</v>
      </c>
      <c r="J17" s="253"/>
      <c r="K17" s="253"/>
      <c r="L17" s="253"/>
      <c r="M17" s="253"/>
      <c r="N17" s="254"/>
    </row>
    <row r="18" spans="1:17" ht="21.95" customHeight="1">
      <c r="A18" s="661"/>
      <c r="B18" s="662"/>
      <c r="C18" s="662"/>
      <c r="D18" s="662"/>
      <c r="E18" s="662"/>
      <c r="F18" s="662"/>
      <c r="G18" s="663"/>
      <c r="H18" s="252"/>
      <c r="I18" s="255">
        <f ca="1">ROUND((djs(I17,1)),3)</f>
        <v>0.14299999999999999</v>
      </c>
      <c r="J18" s="253"/>
      <c r="K18" s="253"/>
      <c r="L18" s="253"/>
      <c r="M18" s="253"/>
      <c r="N18" s="254"/>
    </row>
    <row r="19" spans="1:17" ht="21.95" customHeight="1">
      <c r="A19" s="661"/>
      <c r="B19" s="662"/>
      <c r="C19" s="662"/>
      <c r="D19" s="662"/>
      <c r="E19" s="662"/>
      <c r="F19" s="662"/>
      <c r="G19" s="663"/>
      <c r="H19" s="252"/>
      <c r="N19" s="246"/>
    </row>
    <row r="20" spans="1:17" ht="21.95" customHeight="1">
      <c r="A20" s="661"/>
      <c r="B20" s="662"/>
      <c r="C20" s="662"/>
      <c r="D20" s="662"/>
      <c r="E20" s="662"/>
      <c r="F20" s="662"/>
      <c r="G20" s="663"/>
      <c r="H20" s="252"/>
      <c r="I20" s="244" t="s">
        <v>652</v>
      </c>
      <c r="J20" s="255">
        <f ca="1">I10</f>
        <v>3.6999999999999998E-2</v>
      </c>
      <c r="N20" s="246"/>
    </row>
    <row r="21" spans="1:17" ht="21.95" customHeight="1">
      <c r="A21" s="661"/>
      <c r="B21" s="662"/>
      <c r="C21" s="662"/>
      <c r="D21" s="662"/>
      <c r="E21" s="662"/>
      <c r="F21" s="662"/>
      <c r="G21" s="663"/>
      <c r="H21" s="252"/>
      <c r="J21" s="259"/>
      <c r="N21" s="246"/>
    </row>
    <row r="22" spans="1:17" ht="21.95" customHeight="1">
      <c r="A22" s="664"/>
      <c r="B22" s="665"/>
      <c r="C22" s="665"/>
      <c r="D22" s="665"/>
      <c r="E22" s="665"/>
      <c r="F22" s="665"/>
      <c r="G22" s="666"/>
      <c r="H22" s="260"/>
      <c r="I22" s="667" t="s">
        <v>653</v>
      </c>
      <c r="J22" s="667"/>
      <c r="K22" s="667"/>
      <c r="L22" s="667"/>
      <c r="M22" s="667"/>
      <c r="N22" s="668"/>
    </row>
    <row r="23" spans="1:17" ht="21.95" hidden="1" customHeight="1">
      <c r="A23" s="240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2"/>
      <c r="O23" s="243" t="s">
        <v>634</v>
      </c>
    </row>
    <row r="24" spans="1:17" ht="21.95" hidden="1" customHeight="1">
      <c r="A24" s="245"/>
      <c r="B24" s="244" t="s">
        <v>654</v>
      </c>
      <c r="N24" s="246"/>
      <c r="O24" s="244" t="s">
        <v>635</v>
      </c>
    </row>
    <row r="25" spans="1:17" ht="21.95" hidden="1" customHeight="1">
      <c r="A25" s="247"/>
      <c r="B25" s="248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9"/>
      <c r="O25" s="243" t="s">
        <v>636</v>
      </c>
    </row>
    <row r="26" spans="1:17" ht="21.95" hidden="1" customHeight="1">
      <c r="A26" s="658"/>
      <c r="B26" s="659"/>
      <c r="C26" s="659"/>
      <c r="D26" s="659"/>
      <c r="E26" s="659"/>
      <c r="F26" s="659"/>
      <c r="G26" s="660"/>
      <c r="H26" s="250"/>
      <c r="I26" s="662" t="s">
        <v>637</v>
      </c>
      <c r="J26" s="662"/>
      <c r="K26" s="662"/>
      <c r="L26" s="662"/>
      <c r="M26" s="662"/>
      <c r="N26" s="663"/>
      <c r="O26" s="251" t="s">
        <v>638</v>
      </c>
      <c r="P26" s="251">
        <v>1.2</v>
      </c>
      <c r="Q26" s="251" t="s">
        <v>639</v>
      </c>
    </row>
    <row r="27" spans="1:17" ht="21.95" hidden="1" customHeight="1">
      <c r="A27" s="661"/>
      <c r="B27" s="662"/>
      <c r="C27" s="662"/>
      <c r="D27" s="662"/>
      <c r="E27" s="662"/>
      <c r="F27" s="662"/>
      <c r="G27" s="663"/>
      <c r="H27" s="252"/>
      <c r="I27" s="656" t="str">
        <f>CONCATENATE(P26," / ",6," x "," { "," ( ",2," x ",P27," + ",P28," ) "," x ",P29," + "," ( ",2," x ",P28," + ",P27," ) "," x ",P30," }")</f>
        <v>1.2 / 6 x  {  ( 2 x 1.7 + 1.2 )  x 1.7 +  ( 2 x 1.2 + 1.7 )  x 1.2 }</v>
      </c>
      <c r="J27" s="656"/>
      <c r="K27" s="656"/>
      <c r="L27" s="656"/>
      <c r="M27" s="656"/>
      <c r="N27" s="657"/>
      <c r="O27" s="251" t="s">
        <v>640</v>
      </c>
      <c r="P27" s="251">
        <v>1.7</v>
      </c>
      <c r="Q27" s="251" t="s">
        <v>641</v>
      </c>
    </row>
    <row r="28" spans="1:17" ht="21.95" hidden="1" customHeight="1">
      <c r="A28" s="661"/>
      <c r="B28" s="662"/>
      <c r="C28" s="662"/>
      <c r="D28" s="662"/>
      <c r="E28" s="662"/>
      <c r="F28" s="662"/>
      <c r="G28" s="663"/>
      <c r="H28" s="252"/>
      <c r="I28" s="255" t="e">
        <f ca="1">ROUND((dj(I27)),3)</f>
        <v>#NAME?</v>
      </c>
      <c r="J28" s="256"/>
      <c r="K28" s="256"/>
      <c r="L28" s="256"/>
      <c r="M28" s="256"/>
      <c r="N28" s="257"/>
      <c r="O28" s="251" t="s">
        <v>642</v>
      </c>
      <c r="P28" s="251">
        <v>1.2</v>
      </c>
      <c r="Q28" s="251" t="s">
        <v>643</v>
      </c>
    </row>
    <row r="29" spans="1:17" ht="21.95" hidden="1" customHeight="1">
      <c r="A29" s="661"/>
      <c r="B29" s="662"/>
      <c r="C29" s="662"/>
      <c r="D29" s="662"/>
      <c r="E29" s="662"/>
      <c r="F29" s="662"/>
      <c r="G29" s="663"/>
      <c r="H29" s="252"/>
      <c r="N29" s="246"/>
      <c r="O29" s="251" t="s">
        <v>644</v>
      </c>
      <c r="P29" s="251">
        <v>1.7</v>
      </c>
      <c r="Q29" s="251" t="s">
        <v>645</v>
      </c>
    </row>
    <row r="30" spans="1:17" ht="21.95" hidden="1" customHeight="1">
      <c r="A30" s="661"/>
      <c r="B30" s="662"/>
      <c r="C30" s="662"/>
      <c r="D30" s="662"/>
      <c r="E30" s="662"/>
      <c r="F30" s="662"/>
      <c r="G30" s="663"/>
      <c r="H30" s="252"/>
      <c r="I30" s="662" t="s">
        <v>646</v>
      </c>
      <c r="J30" s="662"/>
      <c r="K30" s="662"/>
      <c r="L30" s="662"/>
      <c r="M30" s="662"/>
      <c r="N30" s="663"/>
      <c r="O30" s="251" t="s">
        <v>647</v>
      </c>
      <c r="P30" s="251">
        <v>1.2</v>
      </c>
      <c r="Q30" s="251" t="s">
        <v>648</v>
      </c>
    </row>
    <row r="31" spans="1:17" ht="21.95" hidden="1" customHeight="1">
      <c r="A31" s="661"/>
      <c r="B31" s="662"/>
      <c r="C31" s="662"/>
      <c r="D31" s="662"/>
      <c r="E31" s="662"/>
      <c r="F31" s="662"/>
      <c r="G31" s="663"/>
      <c r="H31" s="252"/>
      <c r="I31" s="656" t="str">
        <f>CONCATENATE(P32," / ",6," x "," { "," ( ",2," x ",P33," + ",P34," ) "," x ",P35," + "," ( ",2," x ",P34," + ",P33," ) "," * ",P36," }")</f>
        <v>1.2 / 6 x  {  ( 2 x 0.55 + 1 )  x 0.55 +  ( 2 x 1 + 0.55 )  * 1 }</v>
      </c>
      <c r="J31" s="656"/>
      <c r="K31" s="656"/>
      <c r="L31" s="656"/>
      <c r="M31" s="656"/>
      <c r="N31" s="657"/>
      <c r="O31" s="243" t="s">
        <v>649</v>
      </c>
      <c r="P31" s="258"/>
      <c r="Q31" s="258"/>
    </row>
    <row r="32" spans="1:17" ht="21.95" hidden="1" customHeight="1">
      <c r="A32" s="661"/>
      <c r="B32" s="662"/>
      <c r="C32" s="662"/>
      <c r="D32" s="662"/>
      <c r="E32" s="662"/>
      <c r="F32" s="662"/>
      <c r="G32" s="663"/>
      <c r="H32" s="252"/>
      <c r="I32" s="255" t="e">
        <f ca="1">ROUND((dj(I31)),3)</f>
        <v>#NAME?</v>
      </c>
      <c r="J32" s="253"/>
      <c r="K32" s="253"/>
      <c r="L32" s="253"/>
      <c r="M32" s="253"/>
      <c r="N32" s="254"/>
      <c r="O32" s="251" t="s">
        <v>638</v>
      </c>
      <c r="P32" s="251">
        <v>1.2</v>
      </c>
      <c r="Q32" s="251" t="s">
        <v>639</v>
      </c>
    </row>
    <row r="33" spans="1:17" ht="21.95" hidden="1" customHeight="1">
      <c r="A33" s="661"/>
      <c r="B33" s="662"/>
      <c r="C33" s="662"/>
      <c r="D33" s="662"/>
      <c r="E33" s="662"/>
      <c r="F33" s="662"/>
      <c r="G33" s="663"/>
      <c r="H33" s="252"/>
      <c r="N33" s="246"/>
      <c r="O33" s="251" t="s">
        <v>640</v>
      </c>
      <c r="P33" s="251">
        <v>0.55000000000000004</v>
      </c>
      <c r="Q33" s="251" t="s">
        <v>641</v>
      </c>
    </row>
    <row r="34" spans="1:17" ht="21.95" hidden="1" customHeight="1">
      <c r="A34" s="661"/>
      <c r="B34" s="662"/>
      <c r="C34" s="662"/>
      <c r="D34" s="662"/>
      <c r="E34" s="662"/>
      <c r="F34" s="662"/>
      <c r="G34" s="663"/>
      <c r="H34" s="252"/>
      <c r="I34" s="662" t="s">
        <v>650</v>
      </c>
      <c r="J34" s="662"/>
      <c r="K34" s="662"/>
      <c r="L34" s="662"/>
      <c r="M34" s="662"/>
      <c r="N34" s="663"/>
      <c r="O34" s="251" t="s">
        <v>642</v>
      </c>
      <c r="P34" s="251">
        <v>1</v>
      </c>
      <c r="Q34" s="251" t="s">
        <v>643</v>
      </c>
    </row>
    <row r="35" spans="1:17" ht="21.95" hidden="1" customHeight="1">
      <c r="A35" s="661"/>
      <c r="B35" s="662"/>
      <c r="C35" s="662"/>
      <c r="D35" s="662"/>
      <c r="E35" s="662"/>
      <c r="F35" s="662"/>
      <c r="G35" s="663"/>
      <c r="H35" s="252"/>
      <c r="I35" s="253" t="str">
        <f>CONCATENATE("{ ","( ",P34," + ",P33," ) "," x ",P32," } "," / ",2," x ",4)</f>
        <v>{ ( 1 + 0.55 )  x 1.2 }  / 2 x 4</v>
      </c>
      <c r="N35" s="246"/>
      <c r="O35" s="251" t="s">
        <v>644</v>
      </c>
      <c r="P35" s="251">
        <v>0.55000000000000004</v>
      </c>
      <c r="Q35" s="251" t="s">
        <v>645</v>
      </c>
    </row>
    <row r="36" spans="1:17" ht="21.95" hidden="1" customHeight="1">
      <c r="A36" s="661"/>
      <c r="B36" s="662"/>
      <c r="C36" s="662"/>
      <c r="D36" s="662"/>
      <c r="E36" s="662"/>
      <c r="F36" s="662"/>
      <c r="G36" s="663"/>
      <c r="H36" s="252"/>
      <c r="I36" s="255" t="e">
        <f ca="1">ROUND((dj(I35)),3)</f>
        <v>#NAME?</v>
      </c>
      <c r="J36" s="253"/>
      <c r="K36" s="253"/>
      <c r="L36" s="253"/>
      <c r="M36" s="253"/>
      <c r="N36" s="254"/>
      <c r="O36" s="251" t="s">
        <v>647</v>
      </c>
      <c r="P36" s="251">
        <v>1</v>
      </c>
      <c r="Q36" s="251" t="s">
        <v>648</v>
      </c>
    </row>
    <row r="37" spans="1:17" ht="21.95" hidden="1" customHeight="1">
      <c r="A37" s="661"/>
      <c r="B37" s="662"/>
      <c r="C37" s="662"/>
      <c r="D37" s="662"/>
      <c r="E37" s="662"/>
      <c r="F37" s="662"/>
      <c r="G37" s="663"/>
      <c r="H37" s="252"/>
      <c r="N37" s="246"/>
    </row>
    <row r="38" spans="1:17" ht="21.95" hidden="1" customHeight="1">
      <c r="A38" s="661"/>
      <c r="B38" s="662"/>
      <c r="C38" s="662"/>
      <c r="D38" s="662"/>
      <c r="E38" s="662"/>
      <c r="F38" s="662"/>
      <c r="G38" s="663"/>
      <c r="H38" s="252"/>
      <c r="I38" s="244" t="s">
        <v>651</v>
      </c>
      <c r="N38" s="246"/>
    </row>
    <row r="39" spans="1:17" ht="21.95" hidden="1" customHeight="1">
      <c r="A39" s="661"/>
      <c r="B39" s="662"/>
      <c r="C39" s="662"/>
      <c r="D39" s="662"/>
      <c r="E39" s="662"/>
      <c r="F39" s="662"/>
      <c r="G39" s="663"/>
      <c r="H39" s="252"/>
      <c r="I39" s="259" t="e">
        <f ca="1">CONCATENATE(dj(I28),"-",dj(I32))</f>
        <v>#NAME?</v>
      </c>
      <c r="J39" s="253"/>
      <c r="K39" s="253"/>
      <c r="L39" s="253"/>
      <c r="M39" s="253"/>
      <c r="N39" s="254"/>
    </row>
    <row r="40" spans="1:17" ht="21.95" hidden="1" customHeight="1">
      <c r="A40" s="661"/>
      <c r="B40" s="662"/>
      <c r="C40" s="662"/>
      <c r="D40" s="662"/>
      <c r="E40" s="662"/>
      <c r="F40" s="662"/>
      <c r="G40" s="663"/>
      <c r="H40" s="252"/>
      <c r="I40" s="255" t="e">
        <f ca="1">ROUND((dj(I39)),3)</f>
        <v>#NAME?</v>
      </c>
      <c r="J40" s="253"/>
      <c r="K40" s="253"/>
      <c r="L40" s="253"/>
      <c r="M40" s="253"/>
      <c r="N40" s="254"/>
    </row>
    <row r="41" spans="1:17" ht="21.95" hidden="1" customHeight="1">
      <c r="A41" s="661"/>
      <c r="B41" s="662"/>
      <c r="C41" s="662"/>
      <c r="D41" s="662"/>
      <c r="E41" s="662"/>
      <c r="F41" s="662"/>
      <c r="G41" s="663"/>
      <c r="H41" s="252"/>
      <c r="N41" s="246"/>
    </row>
    <row r="42" spans="1:17" ht="21.95" hidden="1" customHeight="1">
      <c r="A42" s="661"/>
      <c r="B42" s="662"/>
      <c r="C42" s="662"/>
      <c r="D42" s="662"/>
      <c r="E42" s="662"/>
      <c r="F42" s="662"/>
      <c r="G42" s="663"/>
      <c r="H42" s="252"/>
      <c r="I42" s="244" t="s">
        <v>652</v>
      </c>
      <c r="J42" s="255" t="e">
        <f ca="1">I32</f>
        <v>#NAME?</v>
      </c>
      <c r="N42" s="246"/>
    </row>
    <row r="43" spans="1:17" ht="21.95" hidden="1" customHeight="1">
      <c r="A43" s="661"/>
      <c r="B43" s="662"/>
      <c r="C43" s="662"/>
      <c r="D43" s="662"/>
      <c r="E43" s="662"/>
      <c r="F43" s="662"/>
      <c r="G43" s="663"/>
      <c r="H43" s="252"/>
      <c r="J43" s="259"/>
      <c r="N43" s="246"/>
    </row>
    <row r="44" spans="1:17" ht="21.95" hidden="1" customHeight="1">
      <c r="A44" s="664"/>
      <c r="B44" s="665"/>
      <c r="C44" s="665"/>
      <c r="D44" s="665"/>
      <c r="E44" s="665"/>
      <c r="F44" s="665"/>
      <c r="G44" s="666"/>
      <c r="H44" s="260"/>
      <c r="I44" s="667" t="s">
        <v>653</v>
      </c>
      <c r="J44" s="667"/>
      <c r="K44" s="667"/>
      <c r="L44" s="667"/>
      <c r="M44" s="667"/>
      <c r="N44" s="668"/>
    </row>
  </sheetData>
  <mergeCells count="14">
    <mergeCell ref="A26:G44"/>
    <mergeCell ref="I26:N26"/>
    <mergeCell ref="I27:N27"/>
    <mergeCell ref="I30:N30"/>
    <mergeCell ref="I31:N31"/>
    <mergeCell ref="I34:N34"/>
    <mergeCell ref="I44:N44"/>
    <mergeCell ref="I9:N9"/>
    <mergeCell ref="A4:G22"/>
    <mergeCell ref="I4:N4"/>
    <mergeCell ref="I5:N5"/>
    <mergeCell ref="I8:N8"/>
    <mergeCell ref="I12:N12"/>
    <mergeCell ref="I22:N22"/>
  </mergeCells>
  <phoneticPr fontId="4" type="noConversion"/>
  <pageMargins left="0.59055118110236227" right="0.19685039370078741" top="0.78740157480314965" bottom="0.78740157480314965" header="0.51181102362204722" footer="0.51181102362204722"/>
  <pageSetup paperSize="9" scale="98" orientation="landscape" horizontalDpi="4294967292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1"/>
  <dimension ref="A1:X49"/>
  <sheetViews>
    <sheetView showZeros="0" view="pageBreakPreview" zoomScaleSheetLayoutView="90" workbookViewId="0">
      <pane xSplit="2" ySplit="2" topLeftCell="C3" activePane="bottomRight" state="frozen"/>
      <selection activeCell="A15" sqref="A15:N15"/>
      <selection pane="topRight" activeCell="A15" sqref="A15:N15"/>
      <selection pane="bottomLeft" activeCell="A15" sqref="A15:N15"/>
      <selection pane="bottomRight" activeCell="I29" sqref="I29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47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727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704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705</v>
      </c>
      <c r="C2" s="669" t="s">
        <v>706</v>
      </c>
      <c r="D2" s="670"/>
      <c r="E2" s="670"/>
      <c r="F2" s="670"/>
      <c r="G2" s="670"/>
      <c r="H2" s="671"/>
      <c r="I2" s="101" t="s">
        <v>707</v>
      </c>
      <c r="J2" s="101" t="s">
        <v>708</v>
      </c>
      <c r="K2" s="669" t="s">
        <v>314</v>
      </c>
      <c r="L2" s="671"/>
    </row>
    <row r="3" spans="1:24" s="167" customFormat="1" ht="22.5" customHeight="1">
      <c r="A3" s="99" t="s">
        <v>709</v>
      </c>
      <c r="B3" s="118"/>
      <c r="C3" s="123" t="s">
        <v>710</v>
      </c>
      <c r="D3" s="230">
        <v>4</v>
      </c>
      <c r="E3" s="123" t="s">
        <v>710</v>
      </c>
      <c r="F3" s="230">
        <v>1</v>
      </c>
      <c r="G3" s="123" t="s">
        <v>711</v>
      </c>
      <c r="H3" s="230">
        <v>1</v>
      </c>
      <c r="I3" s="176" t="s">
        <v>712</v>
      </c>
      <c r="J3" s="225">
        <f ca="1">djs(I3,1)*H3</f>
        <v>2.5</v>
      </c>
      <c r="K3" s="228">
        <f ca="1">((djs(I3,0)+djs(I3,1))*D3)*H3</f>
        <v>11.6</v>
      </c>
      <c r="L3" s="229">
        <f ca="1">((djs(I3,0)+djs(I3,1))*F3)*H3</f>
        <v>2.9</v>
      </c>
      <c r="M3" s="232"/>
    </row>
    <row r="4" spans="1:24" s="167" customFormat="1" ht="22.5" customHeight="1">
      <c r="A4" s="99"/>
      <c r="B4" s="118"/>
      <c r="C4" s="123" t="s">
        <v>713</v>
      </c>
      <c r="D4" s="230"/>
      <c r="E4" s="123"/>
      <c r="F4" s="230"/>
      <c r="G4" s="123" t="s">
        <v>714</v>
      </c>
      <c r="H4" s="230">
        <v>1</v>
      </c>
      <c r="I4" s="176">
        <v>2.5</v>
      </c>
      <c r="J4" s="225">
        <f ca="1">djs(I4,1)*H4</f>
        <v>2.5</v>
      </c>
      <c r="K4" s="228">
        <f ca="1">((djs(I4,0)+djs(I4,1))*D4)*H4</f>
        <v>0</v>
      </c>
      <c r="L4" s="229">
        <f ca="1">((djs(I4,0)+djs(I4,1))*F4)*H4</f>
        <v>0</v>
      </c>
      <c r="M4" s="232"/>
    </row>
    <row r="5" spans="1:24" s="167" customFormat="1" ht="22.5" customHeight="1">
      <c r="A5" s="99"/>
      <c r="B5" s="118"/>
      <c r="C5" s="123"/>
      <c r="D5" s="230"/>
      <c r="E5" s="123"/>
      <c r="F5" s="230"/>
      <c r="G5" s="123"/>
      <c r="H5" s="230"/>
      <c r="I5" s="176"/>
      <c r="J5" s="225"/>
      <c r="K5" s="228"/>
      <c r="L5" s="229"/>
      <c r="M5" s="232"/>
    </row>
    <row r="6" spans="1:24" s="167" customFormat="1" ht="22.5" customHeight="1">
      <c r="A6" s="99" t="s">
        <v>715</v>
      </c>
      <c r="B6" s="118"/>
      <c r="C6" s="123" t="s">
        <v>716</v>
      </c>
      <c r="D6" s="230">
        <v>4</v>
      </c>
      <c r="E6" s="123" t="s">
        <v>716</v>
      </c>
      <c r="F6" s="230">
        <v>1</v>
      </c>
      <c r="G6" s="123" t="s">
        <v>717</v>
      </c>
      <c r="H6" s="230">
        <v>1</v>
      </c>
      <c r="I6" s="176" t="s">
        <v>718</v>
      </c>
      <c r="J6" s="225">
        <f ca="1">djs(I6,1)*H6</f>
        <v>1.2</v>
      </c>
      <c r="K6" s="228">
        <f ca="1">((djs(I6,0)+djs(I6,1))*D6)*H6</f>
        <v>6.4</v>
      </c>
      <c r="L6" s="229">
        <f ca="1">((djs(I6,0)+djs(I6,1))*F6)*H6</f>
        <v>1.6</v>
      </c>
      <c r="M6" s="232"/>
    </row>
    <row r="7" spans="1:24" s="167" customFormat="1" ht="22.5" customHeight="1">
      <c r="A7" s="99"/>
      <c r="B7" s="118"/>
      <c r="C7" s="123" t="s">
        <v>713</v>
      </c>
      <c r="D7" s="230"/>
      <c r="E7" s="123"/>
      <c r="F7" s="230"/>
      <c r="G7" s="123" t="s">
        <v>714</v>
      </c>
      <c r="H7" s="230">
        <v>1</v>
      </c>
      <c r="I7" s="176">
        <v>1.2</v>
      </c>
      <c r="J7" s="225">
        <f ca="1">djs(I7,1)*H7</f>
        <v>1.2</v>
      </c>
      <c r="K7" s="228">
        <f ca="1">((djs(I7,0)+djs(I7,1))*D7)*H7</f>
        <v>0</v>
      </c>
      <c r="L7" s="229">
        <f ca="1">((djs(I7,0)+djs(I7,1))*F7)*H7</f>
        <v>0</v>
      </c>
      <c r="M7" s="232"/>
    </row>
    <row r="8" spans="1:24" s="167" customFormat="1" ht="22.5" customHeight="1">
      <c r="A8" s="99"/>
      <c r="B8" s="118"/>
      <c r="C8" s="231"/>
      <c r="D8" s="230"/>
      <c r="E8" s="231"/>
      <c r="F8" s="230"/>
      <c r="G8" s="123"/>
      <c r="H8" s="230"/>
      <c r="I8" s="176"/>
      <c r="J8" s="225"/>
      <c r="K8" s="228"/>
      <c r="L8" s="229"/>
      <c r="M8" s="232"/>
    </row>
    <row r="9" spans="1:24" s="167" customFormat="1" ht="22.5" customHeight="1">
      <c r="A9" s="99" t="s">
        <v>719</v>
      </c>
      <c r="B9" s="118"/>
      <c r="C9" s="123" t="s">
        <v>699</v>
      </c>
      <c r="D9" s="230">
        <v>4</v>
      </c>
      <c r="E9" s="123" t="s">
        <v>699</v>
      </c>
      <c r="F9" s="230">
        <v>1</v>
      </c>
      <c r="G9" s="123" t="s">
        <v>302</v>
      </c>
      <c r="H9" s="230">
        <v>1</v>
      </c>
      <c r="I9" s="176" t="s">
        <v>720</v>
      </c>
      <c r="J9" s="225">
        <f ca="1">djs(I9,1)*H9</f>
        <v>41.599999999999994</v>
      </c>
      <c r="K9" s="228">
        <f ca="1">((djs(I9,0)+djs(I9,1))*D9)*H9</f>
        <v>172.39999999999998</v>
      </c>
      <c r="L9" s="229">
        <f ca="1">((djs(I9,0)+djs(I9,1))*F9)*H9</f>
        <v>43.099999999999994</v>
      </c>
      <c r="M9" s="232"/>
    </row>
    <row r="10" spans="1:24" s="167" customFormat="1" ht="22.5" customHeight="1">
      <c r="A10" s="99"/>
      <c r="B10" s="118"/>
      <c r="C10" s="123" t="s">
        <v>683</v>
      </c>
      <c r="D10" s="230"/>
      <c r="E10" s="123"/>
      <c r="F10" s="230"/>
      <c r="G10" s="123" t="s">
        <v>684</v>
      </c>
      <c r="H10" s="230">
        <v>1</v>
      </c>
      <c r="I10" s="176">
        <v>2.8</v>
      </c>
      <c r="J10" s="225">
        <f ca="1">djs(I10,1)*H10</f>
        <v>2.8</v>
      </c>
      <c r="K10" s="228">
        <f ca="1">((djs(I10,0)+djs(I10,1))*D10)*H10</f>
        <v>0</v>
      </c>
      <c r="L10" s="229">
        <f ca="1">((djs(I10,0)+djs(I10,1))*F10)*H10</f>
        <v>0</v>
      </c>
      <c r="M10" s="232"/>
    </row>
    <row r="11" spans="1:24" s="167" customFormat="1" ht="22.5" customHeight="1">
      <c r="A11" s="99"/>
      <c r="B11" s="118"/>
      <c r="C11" s="231"/>
      <c r="D11" s="230"/>
      <c r="E11" s="231"/>
      <c r="F11" s="230"/>
      <c r="G11" s="123"/>
      <c r="H11" s="230"/>
      <c r="I11" s="176"/>
      <c r="J11" s="225"/>
      <c r="K11" s="228"/>
      <c r="L11" s="229"/>
      <c r="M11" s="232"/>
    </row>
    <row r="12" spans="1:24" s="167" customFormat="1" ht="22.5" customHeight="1">
      <c r="A12" s="99"/>
      <c r="B12" s="118"/>
      <c r="C12" s="231"/>
      <c r="D12" s="230"/>
      <c r="E12" s="231"/>
      <c r="F12" s="230"/>
      <c r="G12" s="123"/>
      <c r="H12" s="230"/>
      <c r="I12" s="176"/>
      <c r="J12" s="225"/>
      <c r="K12" s="228"/>
      <c r="L12" s="229"/>
      <c r="M12" s="232"/>
    </row>
    <row r="13" spans="1:24" s="167" customFormat="1" ht="22.5" customHeight="1">
      <c r="A13" s="99"/>
      <c r="B13" s="118"/>
      <c r="C13" s="231"/>
      <c r="D13" s="230"/>
      <c r="E13" s="231"/>
      <c r="F13" s="230"/>
      <c r="G13" s="123"/>
      <c r="H13" s="230"/>
      <c r="I13" s="176"/>
      <c r="J13" s="225"/>
      <c r="K13" s="228"/>
      <c r="L13" s="229"/>
      <c r="M13" s="232"/>
    </row>
    <row r="14" spans="1:24" s="167" customFormat="1" ht="22.5" customHeight="1">
      <c r="A14" s="99"/>
      <c r="B14" s="118"/>
      <c r="C14" s="231"/>
      <c r="D14" s="230"/>
      <c r="E14" s="231"/>
      <c r="F14" s="230"/>
      <c r="G14" s="123"/>
      <c r="H14" s="230"/>
      <c r="I14" s="176"/>
      <c r="J14" s="225"/>
      <c r="K14" s="228"/>
      <c r="L14" s="229"/>
      <c r="M14" s="232"/>
    </row>
    <row r="15" spans="1:24" s="167" customFormat="1" ht="22.5" customHeight="1">
      <c r="A15" s="99"/>
      <c r="B15" s="118"/>
      <c r="C15" s="231"/>
      <c r="D15" s="230"/>
      <c r="E15" s="231"/>
      <c r="F15" s="230"/>
      <c r="G15" s="123"/>
      <c r="H15" s="230"/>
      <c r="I15" s="176"/>
      <c r="J15" s="225"/>
      <c r="K15" s="228"/>
      <c r="L15" s="229"/>
      <c r="M15" s="232"/>
    </row>
    <row r="16" spans="1:24" s="167" customFormat="1" ht="22.5" customHeight="1">
      <c r="A16" s="99"/>
      <c r="B16" s="118"/>
      <c r="C16" s="231"/>
      <c r="D16" s="230"/>
      <c r="E16" s="231"/>
      <c r="F16" s="230"/>
      <c r="G16" s="123"/>
      <c r="H16" s="230"/>
      <c r="I16" s="176"/>
      <c r="J16" s="225"/>
      <c r="K16" s="228"/>
      <c r="L16" s="229"/>
      <c r="M16" s="232"/>
    </row>
    <row r="17" spans="1:13" s="167" customFormat="1" ht="22.5" customHeight="1">
      <c r="A17" s="261"/>
      <c r="B17" s="262"/>
      <c r="C17" s="263"/>
      <c r="D17" s="264"/>
      <c r="E17" s="263"/>
      <c r="F17" s="264"/>
      <c r="G17" s="265"/>
      <c r="H17" s="264"/>
      <c r="I17" s="266"/>
      <c r="J17" s="267"/>
      <c r="K17" s="268"/>
      <c r="L17" s="269"/>
      <c r="M17" s="232"/>
    </row>
    <row r="18" spans="1:13" s="167" customFormat="1" ht="22.5" customHeight="1">
      <c r="A18" s="168"/>
      <c r="B18" s="169"/>
      <c r="C18" s="170"/>
      <c r="D18" s="171"/>
      <c r="E18" s="170"/>
      <c r="F18" s="171"/>
      <c r="G18" s="170"/>
      <c r="H18" s="171"/>
      <c r="I18" s="172"/>
      <c r="J18" s="225">
        <f t="shared" ref="J18:J49" ca="1" si="0">djs(I18,1)*H18</f>
        <v>0</v>
      </c>
      <c r="K18" s="228">
        <f t="shared" ref="K18:K49" ca="1" si="1">((djs(I18,0)+djs(I18,1))*D18)*H18</f>
        <v>0</v>
      </c>
      <c r="L18" s="229">
        <f t="shared" ref="L18:L49" ca="1" si="2">((djs(I18,0)+djs(I18,1))*F18)*H18</f>
        <v>0</v>
      </c>
    </row>
    <row r="19" spans="1:13" s="167" customFormat="1" ht="22.5" customHeight="1">
      <c r="A19" s="168"/>
      <c r="B19" s="169"/>
      <c r="C19" s="170"/>
      <c r="D19" s="171"/>
      <c r="E19" s="170"/>
      <c r="F19" s="171"/>
      <c r="G19" s="170"/>
      <c r="H19" s="171"/>
      <c r="I19" s="172"/>
      <c r="J19" s="225">
        <f t="shared" ca="1" si="0"/>
        <v>0</v>
      </c>
      <c r="K19" s="228">
        <f t="shared" ca="1" si="1"/>
        <v>0</v>
      </c>
      <c r="L19" s="229">
        <f t="shared" ca="1" si="2"/>
        <v>0</v>
      </c>
    </row>
    <row r="20" spans="1:13" s="167" customFormat="1" ht="22.5" customHeight="1">
      <c r="A20" s="168"/>
      <c r="B20" s="169"/>
      <c r="C20" s="170"/>
      <c r="D20" s="171"/>
      <c r="E20" s="170"/>
      <c r="F20" s="171"/>
      <c r="G20" s="170"/>
      <c r="H20" s="171"/>
      <c r="I20" s="172"/>
      <c r="J20" s="225">
        <f t="shared" ca="1" si="0"/>
        <v>0</v>
      </c>
      <c r="K20" s="228">
        <f t="shared" ca="1" si="1"/>
        <v>0</v>
      </c>
      <c r="L20" s="229">
        <f t="shared" ca="1" si="2"/>
        <v>0</v>
      </c>
    </row>
    <row r="21" spans="1:13" s="167" customFormat="1" ht="22.5" customHeight="1">
      <c r="A21" s="168"/>
      <c r="B21" s="169"/>
      <c r="C21" s="170"/>
      <c r="D21" s="171"/>
      <c r="E21" s="170"/>
      <c r="F21" s="171"/>
      <c r="G21" s="170"/>
      <c r="H21" s="171"/>
      <c r="I21" s="172"/>
      <c r="J21" s="225">
        <f t="shared" ca="1" si="0"/>
        <v>0</v>
      </c>
      <c r="K21" s="228">
        <f t="shared" ca="1" si="1"/>
        <v>0</v>
      </c>
      <c r="L21" s="229">
        <f t="shared" ca="1" si="2"/>
        <v>0</v>
      </c>
    </row>
    <row r="22" spans="1:13" s="167" customFormat="1" ht="22.5" customHeight="1">
      <c r="A22" s="168"/>
      <c r="B22" s="169"/>
      <c r="C22" s="170"/>
      <c r="D22" s="171"/>
      <c r="E22" s="170"/>
      <c r="F22" s="171"/>
      <c r="G22" s="170"/>
      <c r="H22" s="171"/>
      <c r="I22" s="172"/>
      <c r="J22" s="225">
        <f t="shared" ca="1" si="0"/>
        <v>0</v>
      </c>
      <c r="K22" s="228">
        <f t="shared" ca="1" si="1"/>
        <v>0</v>
      </c>
      <c r="L22" s="229">
        <f t="shared" ca="1" si="2"/>
        <v>0</v>
      </c>
    </row>
    <row r="23" spans="1:13" s="167" customFormat="1" ht="22.5" customHeight="1">
      <c r="A23" s="168"/>
      <c r="B23" s="169"/>
      <c r="C23" s="170"/>
      <c r="D23" s="171"/>
      <c r="E23" s="170"/>
      <c r="F23" s="171"/>
      <c r="G23" s="170"/>
      <c r="H23" s="171"/>
      <c r="I23" s="172"/>
      <c r="J23" s="225">
        <f t="shared" ca="1" si="0"/>
        <v>0</v>
      </c>
      <c r="K23" s="228">
        <f t="shared" ca="1" si="1"/>
        <v>0</v>
      </c>
      <c r="L23" s="229">
        <f t="shared" ca="1" si="2"/>
        <v>0</v>
      </c>
    </row>
    <row r="24" spans="1:13" s="167" customFormat="1" ht="22.5" customHeight="1">
      <c r="A24" s="168"/>
      <c r="B24" s="169"/>
      <c r="C24" s="170"/>
      <c r="D24" s="171"/>
      <c r="E24" s="170"/>
      <c r="F24" s="171"/>
      <c r="G24" s="170"/>
      <c r="H24" s="171"/>
      <c r="I24" s="172"/>
      <c r="J24" s="225">
        <f t="shared" ca="1" si="0"/>
        <v>0</v>
      </c>
      <c r="K24" s="228">
        <f t="shared" ca="1" si="1"/>
        <v>0</v>
      </c>
      <c r="L24" s="229">
        <f t="shared" ca="1" si="2"/>
        <v>0</v>
      </c>
    </row>
    <row r="25" spans="1:13" s="167" customFormat="1" ht="22.5" customHeight="1">
      <c r="A25" s="168"/>
      <c r="B25" s="169"/>
      <c r="C25" s="170"/>
      <c r="D25" s="171"/>
      <c r="E25" s="170"/>
      <c r="F25" s="171"/>
      <c r="G25" s="170"/>
      <c r="H25" s="171"/>
      <c r="I25" s="172"/>
      <c r="J25" s="225">
        <f t="shared" ca="1" si="0"/>
        <v>0</v>
      </c>
      <c r="K25" s="228">
        <f t="shared" ca="1" si="1"/>
        <v>0</v>
      </c>
      <c r="L25" s="229">
        <f t="shared" ca="1" si="2"/>
        <v>0</v>
      </c>
    </row>
    <row r="26" spans="1:13" s="167" customFormat="1" ht="22.5" customHeight="1">
      <c r="A26" s="168"/>
      <c r="B26" s="169"/>
      <c r="C26" s="170"/>
      <c r="D26" s="171"/>
      <c r="E26" s="170"/>
      <c r="F26" s="171"/>
      <c r="G26" s="170"/>
      <c r="H26" s="171"/>
      <c r="I26" s="172"/>
      <c r="J26" s="225">
        <f t="shared" ca="1" si="0"/>
        <v>0</v>
      </c>
      <c r="K26" s="228">
        <f t="shared" ca="1" si="1"/>
        <v>0</v>
      </c>
      <c r="L26" s="229">
        <f t="shared" ca="1" si="2"/>
        <v>0</v>
      </c>
    </row>
    <row r="27" spans="1:13" ht="21" customHeight="1">
      <c r="J27" s="225">
        <f t="shared" ca="1" si="0"/>
        <v>0</v>
      </c>
      <c r="K27" s="228">
        <f t="shared" ca="1" si="1"/>
        <v>0</v>
      </c>
      <c r="L27" s="229">
        <f t="shared" ca="1" si="2"/>
        <v>0</v>
      </c>
    </row>
    <row r="28" spans="1:13" ht="21" customHeight="1">
      <c r="J28" s="225">
        <f t="shared" ca="1" si="0"/>
        <v>0</v>
      </c>
      <c r="K28" s="228">
        <f t="shared" ca="1" si="1"/>
        <v>0</v>
      </c>
      <c r="L28" s="229">
        <f t="shared" ca="1" si="2"/>
        <v>0</v>
      </c>
    </row>
    <row r="29" spans="1:13" ht="21" customHeight="1">
      <c r="J29" s="225">
        <f t="shared" ca="1" si="0"/>
        <v>0</v>
      </c>
      <c r="K29" s="228">
        <f t="shared" ca="1" si="1"/>
        <v>0</v>
      </c>
      <c r="L29" s="229">
        <f t="shared" ca="1" si="2"/>
        <v>0</v>
      </c>
    </row>
    <row r="30" spans="1:13" ht="21" customHeight="1">
      <c r="J30" s="225">
        <f t="shared" ca="1" si="0"/>
        <v>0</v>
      </c>
      <c r="K30" s="228">
        <f t="shared" ca="1" si="1"/>
        <v>0</v>
      </c>
      <c r="L30" s="229">
        <f t="shared" ca="1" si="2"/>
        <v>0</v>
      </c>
    </row>
    <row r="31" spans="1:13" ht="21" customHeight="1">
      <c r="J31" s="225">
        <f t="shared" ca="1" si="0"/>
        <v>0</v>
      </c>
      <c r="K31" s="228">
        <f t="shared" ca="1" si="1"/>
        <v>0</v>
      </c>
      <c r="L31" s="229">
        <f t="shared" ca="1" si="2"/>
        <v>0</v>
      </c>
    </row>
    <row r="32" spans="1:13" ht="21" customHeight="1">
      <c r="J32" s="225">
        <f t="shared" ca="1" si="0"/>
        <v>0</v>
      </c>
      <c r="K32" s="228">
        <f t="shared" ca="1" si="1"/>
        <v>0</v>
      </c>
      <c r="L32" s="229">
        <f t="shared" ca="1" si="2"/>
        <v>0</v>
      </c>
    </row>
    <row r="33" spans="10:12" ht="21" customHeight="1">
      <c r="J33" s="225">
        <f t="shared" ca="1" si="0"/>
        <v>0</v>
      </c>
      <c r="K33" s="228">
        <f t="shared" ca="1" si="1"/>
        <v>0</v>
      </c>
      <c r="L33" s="229">
        <f t="shared" ca="1" si="2"/>
        <v>0</v>
      </c>
    </row>
    <row r="34" spans="10:12" ht="21" customHeight="1">
      <c r="J34" s="225">
        <f t="shared" ca="1" si="0"/>
        <v>0</v>
      </c>
      <c r="K34" s="228">
        <f t="shared" ca="1" si="1"/>
        <v>0</v>
      </c>
      <c r="L34" s="229">
        <f t="shared" ca="1" si="2"/>
        <v>0</v>
      </c>
    </row>
    <row r="35" spans="10:12" ht="21" customHeight="1">
      <c r="J35" s="225">
        <f t="shared" ca="1" si="0"/>
        <v>0</v>
      </c>
      <c r="K35" s="228">
        <f t="shared" ca="1" si="1"/>
        <v>0</v>
      </c>
      <c r="L35" s="229">
        <f t="shared" ca="1" si="2"/>
        <v>0</v>
      </c>
    </row>
    <row r="36" spans="10:12" ht="21" customHeight="1">
      <c r="J36" s="225">
        <f t="shared" ca="1" si="0"/>
        <v>0</v>
      </c>
      <c r="K36" s="228">
        <f t="shared" ca="1" si="1"/>
        <v>0</v>
      </c>
      <c r="L36" s="229">
        <f t="shared" ca="1" si="2"/>
        <v>0</v>
      </c>
    </row>
    <row r="37" spans="10:12" ht="21" customHeight="1">
      <c r="J37" s="225">
        <f t="shared" ca="1" si="0"/>
        <v>0</v>
      </c>
      <c r="K37" s="228">
        <f t="shared" ca="1" si="1"/>
        <v>0</v>
      </c>
      <c r="L37" s="229">
        <f t="shared" ca="1" si="2"/>
        <v>0</v>
      </c>
    </row>
    <row r="38" spans="10:12" ht="21" customHeight="1">
      <c r="J38" s="225">
        <f t="shared" ca="1" si="0"/>
        <v>0</v>
      </c>
      <c r="K38" s="228">
        <f t="shared" ca="1" si="1"/>
        <v>0</v>
      </c>
      <c r="L38" s="229">
        <f t="shared" ca="1" si="2"/>
        <v>0</v>
      </c>
    </row>
    <row r="39" spans="10:12" ht="21" customHeight="1">
      <c r="J39" s="225">
        <f t="shared" ca="1" si="0"/>
        <v>0</v>
      </c>
      <c r="K39" s="228">
        <f t="shared" ca="1" si="1"/>
        <v>0</v>
      </c>
      <c r="L39" s="229">
        <f t="shared" ca="1" si="2"/>
        <v>0</v>
      </c>
    </row>
    <row r="40" spans="10:12" ht="21" customHeight="1">
      <c r="J40" s="225">
        <f t="shared" ca="1" si="0"/>
        <v>0</v>
      </c>
      <c r="K40" s="228">
        <f t="shared" ca="1" si="1"/>
        <v>0</v>
      </c>
      <c r="L40" s="229">
        <f t="shared" ca="1" si="2"/>
        <v>0</v>
      </c>
    </row>
    <row r="41" spans="10:12" ht="21" customHeight="1">
      <c r="J41" s="225">
        <f t="shared" ca="1" si="0"/>
        <v>0</v>
      </c>
      <c r="K41" s="228">
        <f t="shared" ca="1" si="1"/>
        <v>0</v>
      </c>
      <c r="L41" s="229">
        <f t="shared" ca="1" si="2"/>
        <v>0</v>
      </c>
    </row>
    <row r="42" spans="10:12" ht="21" customHeight="1">
      <c r="J42" s="225">
        <f t="shared" ca="1" si="0"/>
        <v>0</v>
      </c>
      <c r="K42" s="228">
        <f t="shared" ca="1" si="1"/>
        <v>0</v>
      </c>
      <c r="L42" s="229">
        <f t="shared" ca="1" si="2"/>
        <v>0</v>
      </c>
    </row>
    <row r="43" spans="10:12" ht="21" customHeight="1">
      <c r="J43" s="225">
        <f t="shared" ca="1" si="0"/>
        <v>0</v>
      </c>
      <c r="K43" s="228">
        <f t="shared" ca="1" si="1"/>
        <v>0</v>
      </c>
      <c r="L43" s="229">
        <f t="shared" ca="1" si="2"/>
        <v>0</v>
      </c>
    </row>
    <row r="44" spans="10:12" ht="21" customHeight="1">
      <c r="J44" s="225">
        <f t="shared" ca="1" si="0"/>
        <v>0</v>
      </c>
      <c r="K44" s="228">
        <f t="shared" ca="1" si="1"/>
        <v>0</v>
      </c>
      <c r="L44" s="229">
        <f t="shared" ca="1" si="2"/>
        <v>0</v>
      </c>
    </row>
    <row r="45" spans="10:12" ht="21" customHeight="1">
      <c r="J45" s="225">
        <f t="shared" ca="1" si="0"/>
        <v>0</v>
      </c>
      <c r="K45" s="228">
        <f t="shared" ca="1" si="1"/>
        <v>0</v>
      </c>
      <c r="L45" s="229">
        <f t="shared" ca="1" si="2"/>
        <v>0</v>
      </c>
    </row>
    <row r="46" spans="10:12" ht="21" customHeight="1">
      <c r="J46" s="225">
        <f t="shared" ca="1" si="0"/>
        <v>0</v>
      </c>
      <c r="K46" s="228">
        <f t="shared" ca="1" si="1"/>
        <v>0</v>
      </c>
      <c r="L46" s="229">
        <f t="shared" ca="1" si="2"/>
        <v>0</v>
      </c>
    </row>
    <row r="47" spans="10:12" ht="21" customHeight="1">
      <c r="J47" s="225">
        <f t="shared" ca="1" si="0"/>
        <v>0</v>
      </c>
      <c r="K47" s="228">
        <f t="shared" ca="1" si="1"/>
        <v>0</v>
      </c>
      <c r="L47" s="229">
        <f t="shared" ca="1" si="2"/>
        <v>0</v>
      </c>
    </row>
    <row r="48" spans="10:12" ht="21" customHeight="1">
      <c r="J48" s="225">
        <f t="shared" ca="1" si="0"/>
        <v>0</v>
      </c>
      <c r="K48" s="228">
        <f t="shared" ca="1" si="1"/>
        <v>0</v>
      </c>
      <c r="L48" s="229">
        <f t="shared" ca="1" si="2"/>
        <v>0</v>
      </c>
    </row>
    <row r="49" spans="10:12" ht="21" customHeight="1">
      <c r="J49" s="225">
        <f t="shared" ca="1" si="0"/>
        <v>0</v>
      </c>
      <c r="K49" s="228">
        <f t="shared" ca="1" si="1"/>
        <v>0</v>
      </c>
      <c r="L49" s="229">
        <f t="shared" ca="1" si="2"/>
        <v>0</v>
      </c>
    </row>
  </sheetData>
  <mergeCells count="2">
    <mergeCell ref="C2:H2"/>
    <mergeCell ref="K2:L2"/>
  </mergeCells>
  <phoneticPr fontId="4" type="noConversion"/>
  <pageMargins left="0.69" right="0" top="0.78740157480314965" bottom="0.27" header="0.51181102362204722" footer="0.19685039370078741"/>
  <pageSetup paperSize="9" scale="90" orientation="landscape" horizontalDpi="4294967292" verticalDpi="300" r:id="rId1"/>
  <headerFooter alignWithMargins="0">
    <oddHeader>&amp;C&amp;"돋움,굵게"&amp;14전선관 및 전선 산출근거서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36">
    <tabColor indexed="10"/>
  </sheetPr>
  <dimension ref="A1:X28"/>
  <sheetViews>
    <sheetView showZeros="0" view="pageBreakPreview" zoomScaleSheetLayoutView="100" workbookViewId="0">
      <pane xSplit="3" ySplit="3" topLeftCell="D7" activePane="bottomRight" state="frozen"/>
      <selection activeCell="N21" sqref="N21"/>
      <selection pane="topRight" activeCell="N21" sqref="N21"/>
      <selection pane="bottomLeft" activeCell="N21" sqref="N21"/>
      <selection pane="bottomRight" activeCell="N21" sqref="N21"/>
    </sheetView>
  </sheetViews>
  <sheetFormatPr defaultRowHeight="21" customHeight="1"/>
  <cols>
    <col min="1" max="2" width="15.77734375" style="162" customWidth="1"/>
    <col min="3" max="3" width="4.6640625" style="120" customWidth="1"/>
    <col min="4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20" width="5.33203125" style="121" customWidth="1"/>
    <col min="21" max="21" width="5.33203125" style="96" customWidth="1"/>
    <col min="22" max="22" width="5.33203125" style="121" customWidth="1"/>
    <col min="23" max="23" width="6.77734375" style="162" customWidth="1"/>
    <col min="24" max="24" width="4.77734375" style="162" customWidth="1"/>
    <col min="25" max="16384" width="8.88671875" style="162"/>
  </cols>
  <sheetData>
    <row r="1" spans="1:23" ht="21.95" customHeight="1">
      <c r="A1" s="676" t="str">
        <f>'1-4.동력(산)'!A1</f>
        <v xml:space="preserve">1-4. 동력간선설비공사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79"/>
      <c r="T1" s="79"/>
      <c r="U1" s="80"/>
      <c r="V1" s="79"/>
      <c r="W1" s="117"/>
    </row>
    <row r="2" spans="1:23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156</v>
      </c>
      <c r="N2" s="673"/>
      <c r="O2" s="673" t="s">
        <v>157</v>
      </c>
      <c r="P2" s="673"/>
      <c r="Q2" s="616" t="s">
        <v>146</v>
      </c>
      <c r="R2" s="616"/>
      <c r="S2" s="616" t="s">
        <v>861</v>
      </c>
      <c r="T2" s="616"/>
      <c r="U2" s="616" t="s">
        <v>147</v>
      </c>
      <c r="V2" s="616"/>
      <c r="W2" s="616" t="s">
        <v>309</v>
      </c>
    </row>
    <row r="3" spans="1:23" ht="21.95" customHeight="1">
      <c r="A3" s="616"/>
      <c r="B3" s="616"/>
      <c r="C3" s="616"/>
      <c r="D3" s="101" t="s">
        <v>1005</v>
      </c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83" t="s">
        <v>310</v>
      </c>
      <c r="V3" s="21" t="s">
        <v>311</v>
      </c>
      <c r="W3" s="616"/>
    </row>
    <row r="4" spans="1:23" ht="21.95" customHeight="1">
      <c r="A4" s="110" t="s">
        <v>158</v>
      </c>
      <c r="B4" s="123" t="s">
        <v>1004</v>
      </c>
      <c r="C4" s="492" t="s">
        <v>407</v>
      </c>
      <c r="D4" s="84">
        <f ca="1">SUM(SUMIF('1-4.동력(산)'!$C$3:$C$59,B4,'1-4.동력(산)'!$K$3:$K$59),SUMIF('1-4.동력(산)'!$E$3:$E$59,B4,'1-4.동력(산)'!$L$3:$L$59),SUMIF('1-4.동력(산)'!$G$3:$G$59,B4,'1-4.동력(산)'!$J$3:$J$59))</f>
        <v>5.5</v>
      </c>
      <c r="E4" s="84"/>
      <c r="F4" s="84"/>
      <c r="G4" s="84"/>
      <c r="H4" s="84"/>
      <c r="I4" s="84"/>
      <c r="J4" s="112">
        <f t="shared" ref="J4:J26" ca="1" si="0">SUM(D4:I4)</f>
        <v>5.5</v>
      </c>
      <c r="K4" s="85">
        <v>0.1</v>
      </c>
      <c r="L4" s="22">
        <f t="shared" ref="L4:L26" ca="1" si="1">ROUND(J4+(J4*K4),0)</f>
        <v>6</v>
      </c>
      <c r="M4" s="86">
        <f>0.08*0.9</f>
        <v>7.2000000000000008E-2</v>
      </c>
      <c r="N4" s="22">
        <f t="shared" ref="N4:N9" ca="1" si="2">ROUNDDOWN($J4*M4,4)</f>
        <v>0.39600000000000002</v>
      </c>
      <c r="O4" s="86"/>
      <c r="P4" s="22"/>
      <c r="Q4" s="86"/>
      <c r="R4" s="22">
        <f ca="1">ROUNDDOWN($J4*Q4,4)</f>
        <v>0</v>
      </c>
      <c r="S4" s="22"/>
      <c r="T4" s="22"/>
      <c r="U4" s="86"/>
      <c r="V4" s="22">
        <f ca="1">ROUNDDOWN($J4*U4,4)</f>
        <v>0</v>
      </c>
      <c r="W4" s="87" t="s">
        <v>102</v>
      </c>
    </row>
    <row r="5" spans="1:23" ht="21.95" customHeight="1">
      <c r="A5" s="110" t="s">
        <v>158</v>
      </c>
      <c r="B5" s="123" t="s">
        <v>1087</v>
      </c>
      <c r="C5" s="492" t="s">
        <v>407</v>
      </c>
      <c r="D5" s="84">
        <f ca="1">SUM(SUMIF('1-4.동력(산)'!$C$3:$C$59,B5,'1-4.동력(산)'!$K$3:$K$59),SUMIF('1-4.동력(산)'!$E$3:$E$59,B5,'1-4.동력(산)'!$L$3:$L$59),SUMIF('1-4.동력(산)'!$G$3:$G$59,B5,'1-4.동력(산)'!$J$3:$J$59))</f>
        <v>34.1</v>
      </c>
      <c r="E5" s="84"/>
      <c r="F5" s="84"/>
      <c r="G5" s="84"/>
      <c r="H5" s="84"/>
      <c r="I5" s="84"/>
      <c r="J5" s="112">
        <f t="shared" ca="1" si="0"/>
        <v>34.1</v>
      </c>
      <c r="K5" s="85">
        <v>0.1</v>
      </c>
      <c r="L5" s="22">
        <f t="shared" ca="1" si="1"/>
        <v>38</v>
      </c>
      <c r="M5" s="86">
        <f>0.1*0.9</f>
        <v>9.0000000000000011E-2</v>
      </c>
      <c r="N5" s="22">
        <f t="shared" ca="1" si="2"/>
        <v>3.069</v>
      </c>
      <c r="O5" s="86"/>
      <c r="P5" s="22"/>
      <c r="Q5" s="86"/>
      <c r="R5" s="22">
        <f ca="1">ROUNDDOWN($J5*Q5,4)</f>
        <v>0</v>
      </c>
      <c r="S5" s="22"/>
      <c r="T5" s="22"/>
      <c r="U5" s="86"/>
      <c r="V5" s="22">
        <f ca="1">ROUNDDOWN($J5*U5,4)</f>
        <v>0</v>
      </c>
      <c r="W5" s="87" t="s">
        <v>102</v>
      </c>
    </row>
    <row r="6" spans="1:23" ht="21.95" customHeight="1">
      <c r="A6" s="110" t="s">
        <v>1081</v>
      </c>
      <c r="B6" s="123" t="s">
        <v>1075</v>
      </c>
      <c r="C6" s="492" t="s">
        <v>407</v>
      </c>
      <c r="D6" s="84">
        <f ca="1">SUM(SUMIF('1-4.동력(산)'!$C$3:$C$59,B6,'1-4.동력(산)'!$K$3:$K$59),SUMIF('1-4.동력(산)'!$E$3:$E$59,B6,'1-4.동력(산)'!$L$3:$L$59),SUMIF('1-4.동력(산)'!$G$3:$G$59,B6,'1-4.동력(산)'!$J$3:$J$59))</f>
        <v>12.5</v>
      </c>
      <c r="E6" s="84"/>
      <c r="F6" s="84"/>
      <c r="G6" s="84"/>
      <c r="H6" s="84"/>
      <c r="I6" s="84"/>
      <c r="J6" s="112">
        <f t="shared" ca="1" si="0"/>
        <v>12.5</v>
      </c>
      <c r="K6" s="85">
        <v>0.1</v>
      </c>
      <c r="L6" s="22">
        <f t="shared" ca="1" si="1"/>
        <v>14</v>
      </c>
      <c r="M6" s="86">
        <f>0.11*0.9</f>
        <v>9.9000000000000005E-2</v>
      </c>
      <c r="N6" s="22">
        <f t="shared" ca="1" si="2"/>
        <v>1.2375</v>
      </c>
      <c r="O6" s="86"/>
      <c r="P6" s="22"/>
      <c r="Q6" s="86"/>
      <c r="R6" s="22"/>
      <c r="S6" s="22"/>
      <c r="T6" s="22"/>
      <c r="U6" s="86"/>
      <c r="V6" s="22"/>
      <c r="W6" s="87" t="s">
        <v>102</v>
      </c>
    </row>
    <row r="7" spans="1:23" ht="21.95" customHeight="1">
      <c r="A7" s="110" t="s">
        <v>1081</v>
      </c>
      <c r="B7" s="123" t="s">
        <v>1078</v>
      </c>
      <c r="C7" s="492" t="s">
        <v>407</v>
      </c>
      <c r="D7" s="84">
        <f ca="1">SUM(SUMIF('1-4.동력(산)'!$C$3:$C$59,B7,'1-4.동력(산)'!$K$3:$K$59),SUMIF('1-4.동력(산)'!$E$3:$E$59,B7,'1-4.동력(산)'!$L$3:$L$59),SUMIF('1-4.동력(산)'!$G$3:$G$59,B7,'1-4.동력(산)'!$J$3:$J$59))</f>
        <v>25</v>
      </c>
      <c r="E7" s="84"/>
      <c r="F7" s="84"/>
      <c r="G7" s="84"/>
      <c r="H7" s="84"/>
      <c r="I7" s="84"/>
      <c r="J7" s="112">
        <f t="shared" ca="1" si="0"/>
        <v>25</v>
      </c>
      <c r="K7" s="85">
        <v>0.1</v>
      </c>
      <c r="L7" s="22">
        <f t="shared" ca="1" si="1"/>
        <v>28</v>
      </c>
      <c r="M7" s="86">
        <f>0.14*0.9</f>
        <v>0.12600000000000003</v>
      </c>
      <c r="N7" s="22">
        <f t="shared" ca="1" si="2"/>
        <v>3.15</v>
      </c>
      <c r="O7" s="86"/>
      <c r="P7" s="22"/>
      <c r="Q7" s="86"/>
      <c r="R7" s="22"/>
      <c r="S7" s="22"/>
      <c r="T7" s="22"/>
      <c r="U7" s="86"/>
      <c r="V7" s="22"/>
      <c r="W7" s="87" t="s">
        <v>102</v>
      </c>
    </row>
    <row r="8" spans="1:23" ht="21.95" customHeight="1">
      <c r="A8" s="110" t="s">
        <v>1081</v>
      </c>
      <c r="B8" s="123" t="s">
        <v>1079</v>
      </c>
      <c r="C8" s="492" t="s">
        <v>407</v>
      </c>
      <c r="D8" s="84">
        <f ca="1">SUM(SUMIF('1-4.동력(산)'!$C$3:$C$59,B8,'1-4.동력(산)'!$K$3:$K$59),SUMIF('1-4.동력(산)'!$E$3:$E$59,B8,'1-4.동력(산)'!$L$3:$L$59),SUMIF('1-4.동력(산)'!$G$3:$G$59,B8,'1-4.동력(산)'!$J$3:$J$59))</f>
        <v>9</v>
      </c>
      <c r="E8" s="84"/>
      <c r="F8" s="84"/>
      <c r="G8" s="84"/>
      <c r="H8" s="84"/>
      <c r="I8" s="84"/>
      <c r="J8" s="112">
        <f t="shared" ca="1" si="0"/>
        <v>9</v>
      </c>
      <c r="K8" s="85">
        <v>0.1</v>
      </c>
      <c r="L8" s="22">
        <f t="shared" ca="1" si="1"/>
        <v>10</v>
      </c>
      <c r="M8" s="86">
        <f>0.2*0.9</f>
        <v>0.18000000000000002</v>
      </c>
      <c r="N8" s="22">
        <f t="shared" ca="1" si="2"/>
        <v>1.62</v>
      </c>
      <c r="O8" s="86"/>
      <c r="P8" s="22"/>
      <c r="Q8" s="86"/>
      <c r="R8" s="22"/>
      <c r="S8" s="22"/>
      <c r="T8" s="22"/>
      <c r="U8" s="86"/>
      <c r="V8" s="22"/>
      <c r="W8" s="87" t="s">
        <v>102</v>
      </c>
    </row>
    <row r="9" spans="1:23" ht="21.95" customHeight="1">
      <c r="A9" s="110" t="s">
        <v>1081</v>
      </c>
      <c r="B9" s="123" t="s">
        <v>1080</v>
      </c>
      <c r="C9" s="492" t="s">
        <v>407</v>
      </c>
      <c r="D9" s="84">
        <f ca="1">SUM(SUMIF('1-4.동력(산)'!$C$3:$C$59,B9,'1-4.동력(산)'!$K$3:$K$59),SUMIF('1-4.동력(산)'!$E$3:$E$59,B9,'1-4.동력(산)'!$L$3:$L$59),SUMIF('1-4.동력(산)'!$G$3:$G$59,B9,'1-4.동력(산)'!$J$3:$J$59))</f>
        <v>11</v>
      </c>
      <c r="E9" s="84"/>
      <c r="F9" s="84"/>
      <c r="G9" s="84"/>
      <c r="H9" s="84"/>
      <c r="I9" s="84"/>
      <c r="J9" s="112">
        <f t="shared" ca="1" si="0"/>
        <v>11</v>
      </c>
      <c r="K9" s="85">
        <v>0.1</v>
      </c>
      <c r="L9" s="22">
        <f t="shared" ca="1" si="1"/>
        <v>12</v>
      </c>
      <c r="M9" s="86">
        <f>0.34*0.9</f>
        <v>0.30600000000000005</v>
      </c>
      <c r="N9" s="22">
        <f t="shared" ca="1" si="2"/>
        <v>3.3660000000000001</v>
      </c>
      <c r="O9" s="86"/>
      <c r="P9" s="22"/>
      <c r="Q9" s="86"/>
      <c r="R9" s="22"/>
      <c r="S9" s="22"/>
      <c r="T9" s="22"/>
      <c r="U9" s="86"/>
      <c r="V9" s="22"/>
      <c r="W9" s="87" t="s">
        <v>102</v>
      </c>
    </row>
    <row r="10" spans="1:23" ht="21.95" customHeight="1">
      <c r="A10" s="110" t="s">
        <v>629</v>
      </c>
      <c r="B10" s="123" t="s">
        <v>1038</v>
      </c>
      <c r="C10" s="492" t="s">
        <v>407</v>
      </c>
      <c r="D10" s="84">
        <f ca="1">SUM(SUMIF('1-4.동력(산)'!$C$3:$C$59,B10,'1-4.동력(산)'!$K$3:$K$59),SUMIF('1-4.동력(산)'!$E$3:$E$59,B10,'1-4.동력(산)'!$L$3:$L$59),SUMIF('1-4.동력(산)'!$G$3:$G$59,B10,'1-4.동력(산)'!$J$3:$J$59))</f>
        <v>20</v>
      </c>
      <c r="E10" s="84"/>
      <c r="F10" s="84"/>
      <c r="G10" s="84"/>
      <c r="H10" s="84"/>
      <c r="I10" s="84"/>
      <c r="J10" s="112">
        <f t="shared" ca="1" si="0"/>
        <v>20</v>
      </c>
      <c r="K10" s="85">
        <v>0.1</v>
      </c>
      <c r="L10" s="22">
        <f t="shared" ca="1" si="1"/>
        <v>22</v>
      </c>
      <c r="M10" s="86">
        <f>0.059*0.9</f>
        <v>5.3100000000000001E-2</v>
      </c>
      <c r="N10" s="22">
        <f t="shared" ref="N10:N16" ca="1" si="3">ROUNDDOWN($J10*M10,4)</f>
        <v>1.0620000000000001</v>
      </c>
      <c r="O10" s="86"/>
      <c r="P10" s="22"/>
      <c r="Q10" s="86"/>
      <c r="R10" s="22"/>
      <c r="S10" s="22"/>
      <c r="T10" s="22"/>
      <c r="U10" s="86"/>
      <c r="V10" s="22"/>
      <c r="W10" s="87" t="s">
        <v>102</v>
      </c>
    </row>
    <row r="11" spans="1:23" ht="21.95" customHeight="1">
      <c r="A11" s="110" t="s">
        <v>629</v>
      </c>
      <c r="B11" s="123" t="s">
        <v>992</v>
      </c>
      <c r="C11" s="492" t="s">
        <v>407</v>
      </c>
      <c r="D11" s="84">
        <f ca="1">SUM(SUMIF('1-4.동력(산)'!$C$3:$C$59,B11,'1-4.동력(산)'!$K$3:$K$59),SUMIF('1-4.동력(산)'!$E$3:$E$59,B11,'1-4.동력(산)'!$L$3:$L$59),SUMIF('1-4.동력(산)'!$G$3:$G$59,B11,'1-4.동력(산)'!$J$3:$J$59))</f>
        <v>40</v>
      </c>
      <c r="E11" s="84"/>
      <c r="F11" s="84"/>
      <c r="G11" s="84"/>
      <c r="H11" s="84"/>
      <c r="I11" s="84"/>
      <c r="J11" s="112">
        <f t="shared" ca="1" si="0"/>
        <v>40</v>
      </c>
      <c r="K11" s="85">
        <v>0.1</v>
      </c>
      <c r="L11" s="22">
        <f t="shared" ca="1" si="1"/>
        <v>44</v>
      </c>
      <c r="M11" s="86">
        <f>0.072*0.9</f>
        <v>6.4799999999999996E-2</v>
      </c>
      <c r="N11" s="22">
        <f t="shared" ca="1" si="3"/>
        <v>2.5920000000000001</v>
      </c>
      <c r="O11" s="86"/>
      <c r="P11" s="22"/>
      <c r="Q11" s="86"/>
      <c r="R11" s="22"/>
      <c r="S11" s="22"/>
      <c r="T11" s="22"/>
      <c r="U11" s="86"/>
      <c r="V11" s="22"/>
      <c r="W11" s="87" t="s">
        <v>102</v>
      </c>
    </row>
    <row r="12" spans="1:23" ht="21.95" customHeight="1">
      <c r="A12" s="110" t="s">
        <v>629</v>
      </c>
      <c r="B12" s="123" t="s">
        <v>1066</v>
      </c>
      <c r="C12" s="492" t="s">
        <v>407</v>
      </c>
      <c r="D12" s="84">
        <f ca="1">SUM(SUMIF('1-4.동력(산)'!$C$3:$C$59,B12,'1-4.동력(산)'!$K$3:$K$59),SUMIF('1-4.동력(산)'!$E$3:$E$59,B12,'1-4.동력(산)'!$L$3:$L$59),SUMIF('1-4.동력(산)'!$G$3:$G$59,B12,'1-4.동력(산)'!$J$3:$J$59))</f>
        <v>2</v>
      </c>
      <c r="E12" s="84"/>
      <c r="F12" s="84"/>
      <c r="G12" s="84"/>
      <c r="H12" s="84"/>
      <c r="I12" s="84"/>
      <c r="J12" s="112">
        <f t="shared" ca="1" si="0"/>
        <v>2</v>
      </c>
      <c r="K12" s="85">
        <v>0.1</v>
      </c>
      <c r="L12" s="22">
        <f t="shared" ca="1" si="1"/>
        <v>2</v>
      </c>
      <c r="M12" s="86">
        <f>0.136*0.9</f>
        <v>0.12240000000000001</v>
      </c>
      <c r="N12" s="22">
        <f ca="1">ROUNDDOWN($J12*M12,4)</f>
        <v>0.24479999999999999</v>
      </c>
      <c r="O12" s="86"/>
      <c r="P12" s="22"/>
      <c r="Q12" s="86"/>
      <c r="R12" s="22"/>
      <c r="S12" s="22"/>
      <c r="T12" s="22"/>
      <c r="U12" s="86"/>
      <c r="V12" s="22"/>
      <c r="W12" s="87" t="s">
        <v>102</v>
      </c>
    </row>
    <row r="13" spans="1:23" ht="21.95" customHeight="1">
      <c r="A13" s="110" t="s">
        <v>386</v>
      </c>
      <c r="B13" s="123" t="s">
        <v>966</v>
      </c>
      <c r="C13" s="492" t="s">
        <v>407</v>
      </c>
      <c r="D13" s="84">
        <f ca="1">SUM(SUMIF('1-4.동력(산)'!$C$3:$C$59,B13,'1-4.동력(산)'!$K$3:$K$59),SUMIF('1-4.동력(산)'!$E$3:$E$59,B13,'1-4.동력(산)'!$L$3:$L$59),SUMIF('1-4.동력(산)'!$G$3:$G$59,B13,'1-4.동력(산)'!$J$3:$J$59))</f>
        <v>81.5</v>
      </c>
      <c r="E13" s="84"/>
      <c r="F13" s="84"/>
      <c r="G13" s="84"/>
      <c r="H13" s="84"/>
      <c r="I13" s="84"/>
      <c r="J13" s="112">
        <f t="shared" ca="1" si="0"/>
        <v>81.5</v>
      </c>
      <c r="K13" s="85">
        <v>0.1</v>
      </c>
      <c r="L13" s="22">
        <f t="shared" ca="1" si="1"/>
        <v>90</v>
      </c>
      <c r="M13" s="86">
        <f>0.006*1.5</f>
        <v>9.0000000000000011E-3</v>
      </c>
      <c r="N13" s="22">
        <f t="shared" ca="1" si="3"/>
        <v>0.73350000000000004</v>
      </c>
      <c r="O13" s="86"/>
      <c r="P13" s="22">
        <f t="shared" ref="P13:P19" ca="1" si="4">ROUNDDOWN($J13*O13,4)</f>
        <v>0</v>
      </c>
      <c r="Q13" s="86"/>
      <c r="R13" s="22"/>
      <c r="S13" s="22"/>
      <c r="T13" s="22"/>
      <c r="U13" s="86"/>
      <c r="V13" s="22">
        <f t="shared" ref="V13:V18" ca="1" si="5">ROUNDDOWN($J13*U13,4)</f>
        <v>0</v>
      </c>
      <c r="W13" s="87" t="s">
        <v>961</v>
      </c>
    </row>
    <row r="14" spans="1:23" ht="21.95" customHeight="1">
      <c r="A14" s="110" t="s">
        <v>386</v>
      </c>
      <c r="B14" s="123" t="s">
        <v>1057</v>
      </c>
      <c r="C14" s="492" t="s">
        <v>407</v>
      </c>
      <c r="D14" s="84">
        <f ca="1">SUM(SUMIF('1-4.동력(산)'!$C$3:$C$59,B14,'1-4.동력(산)'!$K$3:$K$59),SUMIF('1-4.동력(산)'!$E$3:$E$59,B14,'1-4.동력(산)'!$L$3:$L$59),SUMIF('1-4.동력(산)'!$G$3:$G$59,B14,'1-4.동력(산)'!$J$3:$J$59))</f>
        <v>64.099999999999994</v>
      </c>
      <c r="E14" s="84"/>
      <c r="F14" s="84"/>
      <c r="G14" s="84"/>
      <c r="H14" s="84"/>
      <c r="I14" s="84"/>
      <c r="J14" s="112">
        <f t="shared" ca="1" si="0"/>
        <v>64.099999999999994</v>
      </c>
      <c r="K14" s="85">
        <v>0.1</v>
      </c>
      <c r="L14" s="22">
        <f t="shared" ca="1" si="1"/>
        <v>71</v>
      </c>
      <c r="M14" s="86">
        <f>0.006*1.5</f>
        <v>9.0000000000000011E-3</v>
      </c>
      <c r="N14" s="22">
        <f ca="1">ROUNDDOWN($J14*M14,4)</f>
        <v>0.57689999999999997</v>
      </c>
      <c r="O14" s="86"/>
      <c r="P14" s="22">
        <f ca="1">ROUNDDOWN($J14*O14,4)</f>
        <v>0</v>
      </c>
      <c r="Q14" s="86"/>
      <c r="R14" s="22"/>
      <c r="S14" s="22"/>
      <c r="T14" s="22"/>
      <c r="U14" s="86"/>
      <c r="V14" s="22">
        <f t="shared" ca="1" si="5"/>
        <v>0</v>
      </c>
      <c r="W14" s="87" t="s">
        <v>961</v>
      </c>
    </row>
    <row r="15" spans="1:23" ht="21.95" customHeight="1">
      <c r="A15" s="110" t="s">
        <v>391</v>
      </c>
      <c r="B15" s="123" t="s">
        <v>1043</v>
      </c>
      <c r="C15" s="492" t="s">
        <v>407</v>
      </c>
      <c r="D15" s="84">
        <f ca="1">SUM(SUMIF('1-4.동력(산)'!$C$3:$C$59,B15,'1-4.동력(산)'!$K$3:$K$59),SUMIF('1-4.동력(산)'!$E$3:$E$59,B15,'1-4.동력(산)'!$L$3:$L$59),SUMIF('1-4.동력(산)'!$G$3:$G$59,B15,'1-4.동력(산)'!$J$3:$J$59))</f>
        <v>22.2</v>
      </c>
      <c r="E15" s="84"/>
      <c r="F15" s="84"/>
      <c r="G15" s="84"/>
      <c r="H15" s="84"/>
      <c r="I15" s="84"/>
      <c r="J15" s="112">
        <f t="shared" ca="1" si="0"/>
        <v>22.2</v>
      </c>
      <c r="K15" s="85">
        <v>0.05</v>
      </c>
      <c r="L15" s="22">
        <f t="shared" ca="1" si="1"/>
        <v>23</v>
      </c>
      <c r="M15" s="86"/>
      <c r="N15" s="22">
        <f t="shared" ca="1" si="3"/>
        <v>0</v>
      </c>
      <c r="O15" s="86">
        <v>1.7999999999999999E-2</v>
      </c>
      <c r="P15" s="22">
        <f t="shared" ca="1" si="4"/>
        <v>0.39960000000000001</v>
      </c>
      <c r="Q15" s="86"/>
      <c r="R15" s="22"/>
      <c r="S15" s="22"/>
      <c r="T15" s="22"/>
      <c r="U15" s="86"/>
      <c r="V15" s="22">
        <f t="shared" ca="1" si="5"/>
        <v>0</v>
      </c>
      <c r="W15" s="87" t="s">
        <v>964</v>
      </c>
    </row>
    <row r="16" spans="1:23" ht="21.95" customHeight="1">
      <c r="A16" s="110" t="s">
        <v>391</v>
      </c>
      <c r="B16" s="123" t="s">
        <v>1032</v>
      </c>
      <c r="C16" s="492" t="s">
        <v>407</v>
      </c>
      <c r="D16" s="84">
        <f ca="1">SUM(SUMIF('1-4.동력(산)'!$C$3:$C$59,B16,'1-4.동력(산)'!$K$3:$K$59),SUMIF('1-4.동력(산)'!$E$3:$E$59,B16,'1-4.동력(산)'!$L$3:$L$59),SUMIF('1-4.동력(산)'!$G$3:$G$59,B16,'1-4.동력(산)'!$J$3:$J$59))</f>
        <v>75</v>
      </c>
      <c r="E16" s="84"/>
      <c r="F16" s="84"/>
      <c r="G16" s="84"/>
      <c r="H16" s="84"/>
      <c r="I16" s="84"/>
      <c r="J16" s="112">
        <f t="shared" ca="1" si="0"/>
        <v>75</v>
      </c>
      <c r="K16" s="85">
        <v>0.05</v>
      </c>
      <c r="L16" s="22">
        <f t="shared" ca="1" si="1"/>
        <v>79</v>
      </c>
      <c r="M16" s="86"/>
      <c r="N16" s="22">
        <f t="shared" ca="1" si="3"/>
        <v>0</v>
      </c>
      <c r="O16" s="86">
        <v>2.5999999999999999E-2</v>
      </c>
      <c r="P16" s="22">
        <f t="shared" ca="1" si="4"/>
        <v>1.95</v>
      </c>
      <c r="Q16" s="86"/>
      <c r="R16" s="22"/>
      <c r="S16" s="22"/>
      <c r="T16" s="22"/>
      <c r="U16" s="86"/>
      <c r="V16" s="22">
        <f t="shared" ca="1" si="5"/>
        <v>0</v>
      </c>
      <c r="W16" s="87" t="s">
        <v>964</v>
      </c>
    </row>
    <row r="17" spans="1:24" ht="21.95" customHeight="1">
      <c r="A17" s="110" t="s">
        <v>391</v>
      </c>
      <c r="B17" s="123" t="s">
        <v>1063</v>
      </c>
      <c r="C17" s="492" t="s">
        <v>407</v>
      </c>
      <c r="D17" s="84">
        <f ca="1">SUM(SUMIF('1-4.동력(산)'!$C$3:$C$59,B17,'1-4.동력(산)'!$K$3:$K$59),SUMIF('1-4.동력(산)'!$E$3:$E$59,B17,'1-4.동력(산)'!$L$3:$L$59),SUMIF('1-4.동력(산)'!$G$3:$G$59,B17,'1-4.동력(산)'!$J$3:$J$59))</f>
        <v>28</v>
      </c>
      <c r="E17" s="84"/>
      <c r="F17" s="84"/>
      <c r="G17" s="84"/>
      <c r="H17" s="84"/>
      <c r="I17" s="84"/>
      <c r="J17" s="112">
        <f t="shared" ca="1" si="0"/>
        <v>28</v>
      </c>
      <c r="K17" s="85">
        <v>0.05</v>
      </c>
      <c r="L17" s="22">
        <f t="shared" ca="1" si="1"/>
        <v>29</v>
      </c>
      <c r="M17" s="86"/>
      <c r="N17" s="22">
        <f ca="1">ROUNDDOWN($J17*M17,4)</f>
        <v>0</v>
      </c>
      <c r="O17" s="86">
        <v>3.5999999999999997E-2</v>
      </c>
      <c r="P17" s="22">
        <f ca="1">ROUNDDOWN($J17*O17,4)</f>
        <v>1.008</v>
      </c>
      <c r="Q17" s="86"/>
      <c r="R17" s="22"/>
      <c r="S17" s="22"/>
      <c r="T17" s="22"/>
      <c r="U17" s="86"/>
      <c r="V17" s="22">
        <f t="shared" ca="1" si="5"/>
        <v>0</v>
      </c>
      <c r="W17" s="87" t="s">
        <v>963</v>
      </c>
    </row>
    <row r="18" spans="1:24" ht="21.95" customHeight="1">
      <c r="A18" s="110" t="s">
        <v>391</v>
      </c>
      <c r="B18" s="123" t="s">
        <v>1056</v>
      </c>
      <c r="C18" s="492" t="s">
        <v>407</v>
      </c>
      <c r="D18" s="84">
        <f ca="1">SUM(SUMIF('1-4.동력(산)'!$C$3:$C$59,B18,'1-4.동력(산)'!$K$3:$K$59),SUMIF('1-4.동력(산)'!$E$3:$E$59,B18,'1-4.동력(산)'!$L$3:$L$59),SUMIF('1-4.동력(산)'!$G$3:$G$59,B18,'1-4.동력(산)'!$J$3:$J$59))</f>
        <v>167.70000000000002</v>
      </c>
      <c r="E18" s="84"/>
      <c r="F18" s="84"/>
      <c r="G18" s="84"/>
      <c r="H18" s="84"/>
      <c r="I18" s="84"/>
      <c r="J18" s="112">
        <f t="shared" ca="1" si="0"/>
        <v>167.70000000000002</v>
      </c>
      <c r="K18" s="85">
        <v>0.05</v>
      </c>
      <c r="L18" s="22">
        <f t="shared" ca="1" si="1"/>
        <v>176</v>
      </c>
      <c r="M18" s="86"/>
      <c r="N18" s="22">
        <f ca="1">ROUNDDOWN($J18*M18,4)</f>
        <v>0</v>
      </c>
      <c r="O18" s="86">
        <v>4.9000000000000002E-2</v>
      </c>
      <c r="P18" s="22">
        <f ca="1">ROUNDDOWN($J18*O18,4)</f>
        <v>8.2172999999999998</v>
      </c>
      <c r="Q18" s="86"/>
      <c r="R18" s="22"/>
      <c r="S18" s="22"/>
      <c r="T18" s="22"/>
      <c r="U18" s="86"/>
      <c r="V18" s="22">
        <f t="shared" ca="1" si="5"/>
        <v>0</v>
      </c>
      <c r="W18" s="87" t="s">
        <v>963</v>
      </c>
    </row>
    <row r="19" spans="1:24" ht="21.95" customHeight="1">
      <c r="A19" s="110" t="s">
        <v>1045</v>
      </c>
      <c r="B19" s="123" t="s">
        <v>1037</v>
      </c>
      <c r="C19" s="492" t="s">
        <v>407</v>
      </c>
      <c r="D19" s="84">
        <f ca="1">SUM(SUMIF('1-4.동력(산)'!$C$3:$C$59,B19,'1-4.동력(산)'!$K$3:$K$59),SUMIF('1-4.동력(산)'!$E$3:$E$59,B19,'1-4.동력(산)'!$L$3:$L$59),SUMIF('1-4.동력(산)'!$G$3:$G$59,B19,'1-4.동력(산)'!$J$3:$J$59))</f>
        <v>37.5</v>
      </c>
      <c r="E19" s="84"/>
      <c r="F19" s="84"/>
      <c r="G19" s="84"/>
      <c r="H19" s="84"/>
      <c r="I19" s="84"/>
      <c r="J19" s="112">
        <f t="shared" ca="1" si="0"/>
        <v>37.5</v>
      </c>
      <c r="K19" s="85">
        <v>0.05</v>
      </c>
      <c r="L19" s="22">
        <f t="shared" ca="1" si="1"/>
        <v>39</v>
      </c>
      <c r="M19" s="86"/>
      <c r="N19" s="22"/>
      <c r="O19" s="86">
        <v>1.9E-2</v>
      </c>
      <c r="P19" s="22">
        <f t="shared" ca="1" si="4"/>
        <v>0.71250000000000002</v>
      </c>
      <c r="Q19" s="86"/>
      <c r="R19" s="22"/>
      <c r="S19" s="22"/>
      <c r="T19" s="22"/>
      <c r="U19" s="86"/>
      <c r="V19" s="22"/>
      <c r="W19" s="87" t="s">
        <v>963</v>
      </c>
    </row>
    <row r="20" spans="1:24" ht="21.95" customHeight="1">
      <c r="A20" s="110" t="s">
        <v>599</v>
      </c>
      <c r="B20" s="110" t="s">
        <v>1046</v>
      </c>
      <c r="C20" s="492" t="s">
        <v>89</v>
      </c>
      <c r="D20" s="84">
        <v>5</v>
      </c>
      <c r="E20" s="84"/>
      <c r="F20" s="84"/>
      <c r="G20" s="84"/>
      <c r="H20" s="84"/>
      <c r="I20" s="84"/>
      <c r="J20" s="112">
        <f t="shared" si="0"/>
        <v>5</v>
      </c>
      <c r="K20" s="85"/>
      <c r="L20" s="22">
        <f t="shared" si="1"/>
        <v>5</v>
      </c>
      <c r="M20" s="86">
        <v>0.8</v>
      </c>
      <c r="N20" s="22">
        <f>ROUNDDOWN($J20*M20,4)</f>
        <v>4</v>
      </c>
      <c r="O20" s="86"/>
      <c r="P20" s="22"/>
      <c r="Q20" s="86"/>
      <c r="R20" s="22"/>
      <c r="S20" s="22"/>
      <c r="T20" s="22"/>
      <c r="U20" s="86"/>
      <c r="V20" s="22"/>
      <c r="W20" s="87" t="s">
        <v>1008</v>
      </c>
    </row>
    <row r="21" spans="1:24" ht="21.95" customHeight="1">
      <c r="A21" s="231" t="s">
        <v>1085</v>
      </c>
      <c r="B21" s="231" t="s">
        <v>1086</v>
      </c>
      <c r="C21" s="492" t="s">
        <v>89</v>
      </c>
      <c r="D21" s="84">
        <v>1</v>
      </c>
      <c r="E21" s="84"/>
      <c r="F21" s="84"/>
      <c r="G21" s="84"/>
      <c r="H21" s="84"/>
      <c r="I21" s="84"/>
      <c r="J21" s="112">
        <f t="shared" si="0"/>
        <v>1</v>
      </c>
      <c r="K21" s="85"/>
      <c r="L21" s="22">
        <f t="shared" si="1"/>
        <v>1</v>
      </c>
      <c r="M21" s="86">
        <f>0.07*1.3</f>
        <v>9.1000000000000011E-2</v>
      </c>
      <c r="N21" s="22">
        <f>ROUNDDOWN($J21*M21,4)</f>
        <v>9.0999999999999998E-2</v>
      </c>
      <c r="O21" s="86"/>
      <c r="P21" s="22"/>
      <c r="Q21" s="86"/>
      <c r="R21" s="22"/>
      <c r="S21" s="22"/>
      <c r="T21" s="22"/>
      <c r="U21" s="86"/>
      <c r="V21" s="22"/>
      <c r="W21" s="87" t="s">
        <v>1092</v>
      </c>
    </row>
    <row r="22" spans="1:24" ht="21.95" customHeight="1">
      <c r="A22" s="231" t="s">
        <v>993</v>
      </c>
      <c r="B22" s="231" t="s">
        <v>1082</v>
      </c>
      <c r="C22" s="492" t="s">
        <v>967</v>
      </c>
      <c r="D22" s="84">
        <f ca="1">INT(D6/1.8)</f>
        <v>6</v>
      </c>
      <c r="E22" s="84"/>
      <c r="F22" s="84"/>
      <c r="G22" s="84"/>
      <c r="H22" s="84"/>
      <c r="I22" s="84"/>
      <c r="J22" s="112">
        <f t="shared" ca="1" si="0"/>
        <v>6</v>
      </c>
      <c r="K22" s="85"/>
      <c r="L22" s="22">
        <f t="shared" ca="1" si="1"/>
        <v>6</v>
      </c>
      <c r="M22" s="86"/>
      <c r="N22" s="22"/>
      <c r="O22" s="86"/>
      <c r="P22" s="22"/>
      <c r="Q22" s="86"/>
      <c r="R22" s="22"/>
      <c r="S22" s="22"/>
      <c r="T22" s="22"/>
      <c r="U22" s="86"/>
      <c r="V22" s="22"/>
      <c r="W22" s="87"/>
    </row>
    <row r="23" spans="1:24" ht="21.95" customHeight="1">
      <c r="A23" s="231" t="s">
        <v>993</v>
      </c>
      <c r="B23" s="231" t="s">
        <v>1006</v>
      </c>
      <c r="C23" s="492" t="s">
        <v>967</v>
      </c>
      <c r="D23" s="84">
        <f ca="1">INT((D4+D7)/1.8)</f>
        <v>16</v>
      </c>
      <c r="E23" s="84"/>
      <c r="F23" s="84"/>
      <c r="G23" s="84"/>
      <c r="H23" s="84"/>
      <c r="I23" s="84"/>
      <c r="J23" s="112">
        <f t="shared" ca="1" si="0"/>
        <v>16</v>
      </c>
      <c r="K23" s="85"/>
      <c r="L23" s="22">
        <f t="shared" ca="1" si="1"/>
        <v>16</v>
      </c>
      <c r="M23" s="86"/>
      <c r="N23" s="22"/>
      <c r="O23" s="86"/>
      <c r="P23" s="22"/>
      <c r="Q23" s="86"/>
      <c r="R23" s="22"/>
      <c r="S23" s="22"/>
      <c r="T23" s="22"/>
      <c r="U23" s="86"/>
      <c r="V23" s="22"/>
      <c r="W23" s="87"/>
    </row>
    <row r="24" spans="1:24" ht="21.95" customHeight="1">
      <c r="A24" s="231" t="s">
        <v>993</v>
      </c>
      <c r="B24" s="231" t="s">
        <v>1083</v>
      </c>
      <c r="C24" s="492" t="s">
        <v>967</v>
      </c>
      <c r="D24" s="84">
        <f ca="1">INT((D5+D8)/1.8)</f>
        <v>23</v>
      </c>
      <c r="E24" s="84"/>
      <c r="F24" s="84"/>
      <c r="G24" s="84"/>
      <c r="H24" s="84"/>
      <c r="I24" s="84"/>
      <c r="J24" s="112">
        <f t="shared" ca="1" si="0"/>
        <v>23</v>
      </c>
      <c r="K24" s="85"/>
      <c r="L24" s="22">
        <f t="shared" ca="1" si="1"/>
        <v>23</v>
      </c>
      <c r="M24" s="86"/>
      <c r="N24" s="22"/>
      <c r="O24" s="86"/>
      <c r="P24" s="22"/>
      <c r="Q24" s="86"/>
      <c r="R24" s="22"/>
      <c r="S24" s="22"/>
      <c r="T24" s="22"/>
      <c r="U24" s="86"/>
      <c r="V24" s="22"/>
      <c r="W24" s="87"/>
    </row>
    <row r="25" spans="1:24" ht="21.95" customHeight="1">
      <c r="A25" s="231" t="s">
        <v>993</v>
      </c>
      <c r="B25" s="231" t="s">
        <v>1084</v>
      </c>
      <c r="C25" s="492" t="s">
        <v>967</v>
      </c>
      <c r="D25" s="84">
        <f ca="1">INT((D9)/1.8)</f>
        <v>6</v>
      </c>
      <c r="E25" s="84"/>
      <c r="F25" s="84"/>
      <c r="G25" s="84"/>
      <c r="H25" s="84"/>
      <c r="I25" s="84"/>
      <c r="J25" s="112">
        <f t="shared" ca="1" si="0"/>
        <v>6</v>
      </c>
      <c r="K25" s="85"/>
      <c r="L25" s="22">
        <f t="shared" ca="1" si="1"/>
        <v>6</v>
      </c>
      <c r="M25" s="86"/>
      <c r="N25" s="22"/>
      <c r="O25" s="86"/>
      <c r="P25" s="22"/>
      <c r="Q25" s="86"/>
      <c r="R25" s="22"/>
      <c r="S25" s="22"/>
      <c r="T25" s="22"/>
      <c r="U25" s="86"/>
      <c r="V25" s="22"/>
      <c r="W25" s="87"/>
    </row>
    <row r="26" spans="1:24" ht="21.95" customHeight="1">
      <c r="A26" s="110" t="s">
        <v>995</v>
      </c>
      <c r="B26" s="231" t="s">
        <v>994</v>
      </c>
      <c r="C26" s="492" t="s">
        <v>967</v>
      </c>
      <c r="D26" s="84">
        <v>6</v>
      </c>
      <c r="E26" s="84"/>
      <c r="F26" s="84"/>
      <c r="G26" s="84"/>
      <c r="H26" s="84"/>
      <c r="I26" s="84"/>
      <c r="J26" s="112">
        <f t="shared" si="0"/>
        <v>6</v>
      </c>
      <c r="K26" s="85"/>
      <c r="L26" s="22">
        <f t="shared" si="1"/>
        <v>6</v>
      </c>
      <c r="M26" s="86"/>
      <c r="N26" s="22"/>
      <c r="O26" s="86"/>
      <c r="P26" s="22"/>
      <c r="Q26" s="86"/>
      <c r="R26" s="22"/>
      <c r="S26" s="22">
        <v>0.13</v>
      </c>
      <c r="T26" s="22">
        <f>ROUNDDOWN($J26*S26,4)</f>
        <v>0.78</v>
      </c>
      <c r="U26" s="86"/>
      <c r="V26" s="22"/>
      <c r="W26" s="87" t="s">
        <v>1047</v>
      </c>
    </row>
    <row r="27" spans="1:24" ht="21.95" customHeight="1">
      <c r="A27" s="123"/>
      <c r="B27" s="123"/>
      <c r="C27" s="492"/>
      <c r="D27" s="84"/>
      <c r="E27" s="84"/>
      <c r="F27" s="84"/>
      <c r="G27" s="84"/>
      <c r="H27" s="84"/>
      <c r="I27" s="84"/>
      <c r="J27" s="112"/>
      <c r="K27" s="85"/>
      <c r="L27" s="22"/>
      <c r="M27" s="86"/>
      <c r="N27" s="22"/>
      <c r="O27" s="86"/>
      <c r="P27" s="22"/>
      <c r="Q27" s="86"/>
      <c r="R27" s="22"/>
      <c r="S27" s="22"/>
      <c r="T27" s="22"/>
      <c r="U27" s="86"/>
      <c r="V27" s="22"/>
      <c r="W27" s="87"/>
    </row>
    <row r="28" spans="1:24" ht="21.95" customHeight="1">
      <c r="A28" s="112" t="s">
        <v>312</v>
      </c>
      <c r="B28" s="112"/>
      <c r="C28" s="112"/>
      <c r="D28" s="112"/>
      <c r="E28" s="112"/>
      <c r="F28" s="112"/>
      <c r="G28" s="112"/>
      <c r="H28" s="112"/>
      <c r="I28" s="112"/>
      <c r="J28" s="90"/>
      <c r="K28" s="91"/>
      <c r="L28" s="22"/>
      <c r="M28" s="84"/>
      <c r="N28" s="84">
        <f ca="1">ROUNDDOWN(SUM(N3:N27)*$X28,1)</f>
        <v>22.1</v>
      </c>
      <c r="O28" s="89"/>
      <c r="P28" s="84">
        <f ca="1">ROUNDDOWN(SUM(P3:P27)*$X28,1)</f>
        <v>12.2</v>
      </c>
      <c r="Q28" s="84"/>
      <c r="R28" s="84">
        <f ca="1">ROUNDDOWN(SUM(R3:R27)*$X28,1)</f>
        <v>0</v>
      </c>
      <c r="S28" s="84"/>
      <c r="T28" s="84">
        <f>ROUNDDOWN(SUM(T3:T27)*$X28,1)</f>
        <v>0.7</v>
      </c>
      <c r="U28" s="89"/>
      <c r="V28" s="84">
        <f ca="1">ROUNDDOWN(SUM(V3:V27)*$X28,1)</f>
        <v>0</v>
      </c>
      <c r="W28" s="87"/>
      <c r="X28" s="119">
        <v>1</v>
      </c>
    </row>
  </sheetData>
  <mergeCells count="14">
    <mergeCell ref="J2:J3"/>
    <mergeCell ref="A1:B1"/>
    <mergeCell ref="A2:A3"/>
    <mergeCell ref="B2:B3"/>
    <mergeCell ref="C2:C3"/>
    <mergeCell ref="D2:I2"/>
    <mergeCell ref="U2:V2"/>
    <mergeCell ref="W2:W3"/>
    <mergeCell ref="K2:K3"/>
    <mergeCell ref="L2:L3"/>
    <mergeCell ref="M2:N2"/>
    <mergeCell ref="O2:P2"/>
    <mergeCell ref="Q2:R2"/>
    <mergeCell ref="S2:T2"/>
  </mergeCells>
  <phoneticPr fontId="4" type="noConversion"/>
  <pageMargins left="0.86614173228346458" right="0.47244094488188981" top="0.78740157480314965" bottom="0.47244094488188981" header="0.47244094488188981" footer="0"/>
  <pageSetup paperSize="9" scale="79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78"/>
  <dimension ref="A1:X59"/>
  <sheetViews>
    <sheetView showZeros="0" view="pageBreakPreview" zoomScaleNormal="85" zoomScaleSheetLayoutView="100" workbookViewId="0">
      <pane xSplit="2" ySplit="2" topLeftCell="C3" activePane="bottomRight" state="frozen"/>
      <selection activeCell="N21" sqref="N21"/>
      <selection pane="topRight" activeCell="N21" sqref="N21"/>
      <selection pane="bottomLeft" activeCell="N21" sqref="N21"/>
      <selection pane="bottomRight" activeCell="N21" sqref="N21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.95" customHeight="1">
      <c r="A1" s="209" t="s">
        <v>1105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159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.95" customHeight="1">
      <c r="A2" s="101" t="s">
        <v>313</v>
      </c>
      <c r="B2" s="106" t="s">
        <v>160</v>
      </c>
      <c r="C2" s="669" t="s">
        <v>161</v>
      </c>
      <c r="D2" s="670"/>
      <c r="E2" s="670"/>
      <c r="F2" s="670"/>
      <c r="G2" s="670"/>
      <c r="H2" s="671"/>
      <c r="I2" s="101" t="s">
        <v>94</v>
      </c>
      <c r="J2" s="101" t="s">
        <v>162</v>
      </c>
      <c r="K2" s="669" t="s">
        <v>314</v>
      </c>
      <c r="L2" s="671"/>
    </row>
    <row r="3" spans="1:24" s="167" customFormat="1" ht="21.95" customHeight="1">
      <c r="A3" s="379" t="s">
        <v>1104</v>
      </c>
      <c r="B3" s="99"/>
      <c r="C3" s="123"/>
      <c r="D3" s="230"/>
      <c r="E3" s="123"/>
      <c r="F3" s="230"/>
      <c r="G3" s="123"/>
      <c r="H3" s="230"/>
      <c r="I3" s="176"/>
      <c r="J3" s="225"/>
      <c r="K3" s="228"/>
      <c r="L3" s="229"/>
      <c r="M3" s="232"/>
    </row>
    <row r="4" spans="1:24" s="167" customFormat="1" ht="21.95" customHeight="1">
      <c r="A4" s="490" t="s">
        <v>1106</v>
      </c>
      <c r="B4" s="490" t="s">
        <v>1107</v>
      </c>
      <c r="C4" s="123" t="s">
        <v>1109</v>
      </c>
      <c r="D4" s="230">
        <v>2</v>
      </c>
      <c r="E4" s="123" t="s">
        <v>1109</v>
      </c>
      <c r="F4" s="230">
        <v>1</v>
      </c>
      <c r="G4" s="123" t="s">
        <v>1025</v>
      </c>
      <c r="H4" s="230">
        <v>1</v>
      </c>
      <c r="I4" s="176" t="s">
        <v>1110</v>
      </c>
      <c r="J4" s="225">
        <f t="shared" ref="J4:J14" ca="1" si="0">djs(I4,1)*H4</f>
        <v>5.4</v>
      </c>
      <c r="K4" s="228">
        <f t="shared" ref="K4:K14" ca="1" si="1">((djs(I4,0)+djs(I4,1))*D4)*H4</f>
        <v>12.8</v>
      </c>
      <c r="L4" s="229">
        <f t="shared" ref="L4:L14" ca="1" si="2">((djs(I4,0)+djs(I4,1))*F4)*H4</f>
        <v>6.4</v>
      </c>
      <c r="M4" s="232"/>
    </row>
    <row r="5" spans="1:24" s="167" customFormat="1" ht="21.95" customHeight="1">
      <c r="A5" s="490"/>
      <c r="B5" s="490"/>
      <c r="C5" s="123" t="s">
        <v>1111</v>
      </c>
      <c r="D5" s="230">
        <v>1</v>
      </c>
      <c r="E5" s="123"/>
      <c r="F5" s="230"/>
      <c r="G5" s="123"/>
      <c r="H5" s="230">
        <v>1</v>
      </c>
      <c r="I5" s="176" t="s">
        <v>1112</v>
      </c>
      <c r="J5" s="225">
        <f t="shared" ca="1" si="0"/>
        <v>1</v>
      </c>
      <c r="K5" s="228">
        <f t="shared" ca="1" si="1"/>
        <v>1</v>
      </c>
      <c r="L5" s="229">
        <f t="shared" ca="1" si="2"/>
        <v>0</v>
      </c>
      <c r="M5" s="232"/>
    </row>
    <row r="6" spans="1:24" s="167" customFormat="1" ht="21.95" customHeight="1">
      <c r="A6" s="490"/>
      <c r="B6" s="490" t="s">
        <v>1107</v>
      </c>
      <c r="C6" s="123" t="s">
        <v>1109</v>
      </c>
      <c r="D6" s="230">
        <v>2</v>
      </c>
      <c r="E6" s="123" t="s">
        <v>1109</v>
      </c>
      <c r="F6" s="230">
        <v>1</v>
      </c>
      <c r="G6" s="123" t="s">
        <v>1025</v>
      </c>
      <c r="H6" s="230">
        <v>1</v>
      </c>
      <c r="I6" s="176" t="s">
        <v>1113</v>
      </c>
      <c r="J6" s="225">
        <f t="shared" ca="1" si="0"/>
        <v>30.9</v>
      </c>
      <c r="K6" s="228">
        <f t="shared" ca="1" si="1"/>
        <v>63.8</v>
      </c>
      <c r="L6" s="229">
        <f t="shared" ca="1" si="2"/>
        <v>31.9</v>
      </c>
      <c r="M6" s="232"/>
    </row>
    <row r="7" spans="1:24" s="167" customFormat="1" ht="21.95" customHeight="1">
      <c r="A7" s="490"/>
      <c r="B7" s="490"/>
      <c r="C7" s="123" t="s">
        <v>1111</v>
      </c>
      <c r="D7" s="230">
        <v>1</v>
      </c>
      <c r="E7" s="123"/>
      <c r="F7" s="230"/>
      <c r="G7" s="123"/>
      <c r="H7" s="230">
        <v>1</v>
      </c>
      <c r="I7" s="176" t="s">
        <v>1112</v>
      </c>
      <c r="J7" s="225">
        <f t="shared" ca="1" si="0"/>
        <v>1</v>
      </c>
      <c r="K7" s="228">
        <f t="shared" ca="1" si="1"/>
        <v>1</v>
      </c>
      <c r="L7" s="229">
        <f t="shared" ca="1" si="2"/>
        <v>0</v>
      </c>
      <c r="M7" s="232"/>
    </row>
    <row r="8" spans="1:24" s="167" customFormat="1" ht="21.95" customHeight="1">
      <c r="A8" s="490"/>
      <c r="B8" s="490" t="s">
        <v>1107</v>
      </c>
      <c r="C8" s="123" t="s">
        <v>1109</v>
      </c>
      <c r="D8" s="230">
        <v>2</v>
      </c>
      <c r="E8" s="123" t="s">
        <v>1109</v>
      </c>
      <c r="F8" s="230">
        <v>1</v>
      </c>
      <c r="G8" s="123" t="s">
        <v>1025</v>
      </c>
      <c r="H8" s="230">
        <v>1</v>
      </c>
      <c r="I8" s="176" t="s">
        <v>1114</v>
      </c>
      <c r="J8" s="225">
        <f t="shared" ca="1" si="0"/>
        <v>9.4</v>
      </c>
      <c r="K8" s="228">
        <f t="shared" ca="1" si="1"/>
        <v>20.8</v>
      </c>
      <c r="L8" s="229">
        <f t="shared" ca="1" si="2"/>
        <v>10.4</v>
      </c>
      <c r="M8" s="232"/>
    </row>
    <row r="9" spans="1:24" s="167" customFormat="1" ht="21.95" customHeight="1">
      <c r="A9" s="490"/>
      <c r="B9" s="490"/>
      <c r="C9" s="123" t="s">
        <v>1111</v>
      </c>
      <c r="D9" s="230">
        <v>1</v>
      </c>
      <c r="E9" s="123"/>
      <c r="F9" s="230"/>
      <c r="G9" s="123"/>
      <c r="H9" s="230">
        <v>1</v>
      </c>
      <c r="I9" s="176" t="s">
        <v>1112</v>
      </c>
      <c r="J9" s="225">
        <f t="shared" ca="1" si="0"/>
        <v>1</v>
      </c>
      <c r="K9" s="228">
        <f t="shared" ca="1" si="1"/>
        <v>1</v>
      </c>
      <c r="L9" s="229">
        <f t="shared" ca="1" si="2"/>
        <v>0</v>
      </c>
      <c r="M9" s="232"/>
    </row>
    <row r="10" spans="1:24" s="167" customFormat="1" ht="21.95" customHeight="1">
      <c r="A10" s="490"/>
      <c r="B10" s="490" t="s">
        <v>1108</v>
      </c>
      <c r="C10" s="123" t="s">
        <v>1027</v>
      </c>
      <c r="D10" s="230">
        <v>2</v>
      </c>
      <c r="E10" s="123" t="s">
        <v>1027</v>
      </c>
      <c r="F10" s="230">
        <v>1</v>
      </c>
      <c r="G10" s="123" t="s">
        <v>1025</v>
      </c>
      <c r="H10" s="230">
        <v>1</v>
      </c>
      <c r="I10" s="176" t="s">
        <v>1115</v>
      </c>
      <c r="J10" s="225">
        <f t="shared" ca="1" si="0"/>
        <v>15.6</v>
      </c>
      <c r="K10" s="228">
        <f t="shared" ca="1" si="1"/>
        <v>33.200000000000003</v>
      </c>
      <c r="L10" s="229">
        <f t="shared" ca="1" si="2"/>
        <v>16.600000000000001</v>
      </c>
      <c r="M10" s="232"/>
    </row>
    <row r="11" spans="1:24" s="167" customFormat="1" ht="21.95" customHeight="1">
      <c r="A11" s="490"/>
      <c r="B11" s="490" t="s">
        <v>1116</v>
      </c>
      <c r="C11" s="123" t="s">
        <v>1027</v>
      </c>
      <c r="D11" s="230">
        <v>2</v>
      </c>
      <c r="E11" s="123" t="s">
        <v>1027</v>
      </c>
      <c r="F11" s="230">
        <v>1</v>
      </c>
      <c r="G11" s="123" t="s">
        <v>1025</v>
      </c>
      <c r="H11" s="230">
        <v>1</v>
      </c>
      <c r="I11" s="176" t="s">
        <v>1117</v>
      </c>
      <c r="J11" s="225">
        <f t="shared" ca="1" si="0"/>
        <v>12.6</v>
      </c>
      <c r="K11" s="228">
        <f t="shared" ca="1" si="1"/>
        <v>27.2</v>
      </c>
      <c r="L11" s="229">
        <f t="shared" ca="1" si="2"/>
        <v>13.6</v>
      </c>
      <c r="M11" s="232"/>
    </row>
    <row r="12" spans="1:24" s="167" customFormat="1" ht="21.95" customHeight="1">
      <c r="A12" s="490"/>
      <c r="B12" s="490" t="s">
        <v>1118</v>
      </c>
      <c r="C12" s="123" t="s">
        <v>1027</v>
      </c>
      <c r="D12" s="230">
        <v>2</v>
      </c>
      <c r="E12" s="123" t="s">
        <v>1027</v>
      </c>
      <c r="F12" s="230">
        <v>1</v>
      </c>
      <c r="G12" s="123" t="s">
        <v>1025</v>
      </c>
      <c r="H12" s="230">
        <v>1</v>
      </c>
      <c r="I12" s="176" t="s">
        <v>1119</v>
      </c>
      <c r="J12" s="225">
        <f t="shared" ca="1" si="0"/>
        <v>4.7</v>
      </c>
      <c r="K12" s="228">
        <f t="shared" ca="1" si="1"/>
        <v>11.4</v>
      </c>
      <c r="L12" s="229">
        <f t="shared" ca="1" si="2"/>
        <v>5.7</v>
      </c>
      <c r="M12" s="232"/>
    </row>
    <row r="13" spans="1:24" s="167" customFormat="1" ht="21.95" customHeight="1">
      <c r="A13" s="490"/>
      <c r="B13" s="490" t="s">
        <v>1120</v>
      </c>
      <c r="C13" s="123" t="s">
        <v>1027</v>
      </c>
      <c r="D13" s="230">
        <v>2</v>
      </c>
      <c r="E13" s="123" t="s">
        <v>1027</v>
      </c>
      <c r="F13" s="230">
        <v>1</v>
      </c>
      <c r="G13" s="123" t="s">
        <v>1025</v>
      </c>
      <c r="H13" s="230">
        <v>1</v>
      </c>
      <c r="I13" s="176" t="s">
        <v>1121</v>
      </c>
      <c r="J13" s="225">
        <f t="shared" ca="1" si="0"/>
        <v>18.600000000000001</v>
      </c>
      <c r="K13" s="228">
        <f t="shared" ca="1" si="1"/>
        <v>39.200000000000003</v>
      </c>
      <c r="L13" s="229">
        <f t="shared" ca="1" si="2"/>
        <v>19.600000000000001</v>
      </c>
      <c r="M13" s="232"/>
    </row>
    <row r="14" spans="1:24" s="167" customFormat="1" ht="21.95" customHeight="1">
      <c r="A14" s="490"/>
      <c r="B14" s="490" t="s">
        <v>1122</v>
      </c>
      <c r="C14" s="123" t="s">
        <v>1027</v>
      </c>
      <c r="D14" s="230">
        <v>2</v>
      </c>
      <c r="E14" s="123" t="s">
        <v>1027</v>
      </c>
      <c r="F14" s="230">
        <v>1</v>
      </c>
      <c r="G14" s="123" t="s">
        <v>1025</v>
      </c>
      <c r="H14" s="230">
        <v>1</v>
      </c>
      <c r="I14" s="176" t="s">
        <v>1121</v>
      </c>
      <c r="J14" s="225">
        <f t="shared" ca="1" si="0"/>
        <v>18.600000000000001</v>
      </c>
      <c r="K14" s="228">
        <f t="shared" ca="1" si="1"/>
        <v>39.200000000000003</v>
      </c>
      <c r="L14" s="229">
        <f t="shared" ca="1" si="2"/>
        <v>19.600000000000001</v>
      </c>
      <c r="M14" s="232"/>
    </row>
    <row r="15" spans="1:24" s="167" customFormat="1" ht="21.95" customHeight="1">
      <c r="A15" s="490"/>
      <c r="B15" s="490"/>
      <c r="C15" s="123"/>
      <c r="D15" s="230"/>
      <c r="E15" s="123"/>
      <c r="F15" s="230"/>
      <c r="G15" s="123"/>
      <c r="H15" s="230"/>
      <c r="I15" s="176"/>
      <c r="J15" s="225"/>
      <c r="K15" s="228"/>
      <c r="L15" s="229"/>
      <c r="M15" s="232"/>
    </row>
    <row r="16" spans="1:24" s="167" customFormat="1" ht="21.95" customHeight="1">
      <c r="A16" s="490"/>
      <c r="B16" s="490"/>
      <c r="C16" s="123"/>
      <c r="D16" s="230"/>
      <c r="E16" s="123"/>
      <c r="F16" s="230"/>
      <c r="G16" s="123"/>
      <c r="H16" s="230"/>
      <c r="I16" s="176"/>
      <c r="J16" s="225"/>
      <c r="K16" s="228"/>
      <c r="L16" s="229"/>
      <c r="M16" s="232"/>
    </row>
    <row r="17" spans="1:13" s="167" customFormat="1" ht="21.95" customHeight="1">
      <c r="A17" s="490"/>
      <c r="B17" s="490"/>
      <c r="C17" s="123"/>
      <c r="D17" s="230"/>
      <c r="E17" s="123"/>
      <c r="F17" s="230"/>
      <c r="G17" s="123"/>
      <c r="H17" s="230"/>
      <c r="I17" s="176"/>
      <c r="J17" s="225"/>
      <c r="K17" s="228"/>
      <c r="L17" s="229"/>
      <c r="M17" s="232"/>
    </row>
    <row r="18" spans="1:13" s="167" customFormat="1" ht="21.95" customHeight="1">
      <c r="A18" s="490"/>
      <c r="B18" s="490"/>
      <c r="C18" s="123"/>
      <c r="D18" s="230"/>
      <c r="E18" s="123"/>
      <c r="F18" s="230"/>
      <c r="G18" s="123"/>
      <c r="H18" s="230"/>
      <c r="I18" s="176"/>
      <c r="J18" s="225"/>
      <c r="K18" s="228"/>
      <c r="L18" s="229"/>
      <c r="M18" s="232"/>
    </row>
    <row r="19" spans="1:13" s="167" customFormat="1" ht="21.95" customHeight="1">
      <c r="A19" s="490"/>
      <c r="B19" s="490"/>
      <c r="C19" s="123"/>
      <c r="D19" s="230"/>
      <c r="E19" s="123"/>
      <c r="F19" s="230"/>
      <c r="G19" s="123"/>
      <c r="H19" s="230"/>
      <c r="I19" s="176"/>
      <c r="J19" s="225"/>
      <c r="K19" s="228"/>
      <c r="L19" s="229"/>
      <c r="M19" s="232"/>
    </row>
    <row r="20" spans="1:13" s="167" customFormat="1" ht="21.95" customHeight="1">
      <c r="A20" s="490"/>
      <c r="B20" s="490"/>
      <c r="C20" s="123"/>
      <c r="D20" s="230"/>
      <c r="E20" s="123"/>
      <c r="F20" s="230"/>
      <c r="G20" s="123"/>
      <c r="H20" s="230"/>
      <c r="I20" s="176"/>
      <c r="J20" s="225"/>
      <c r="K20" s="228"/>
      <c r="L20" s="229"/>
      <c r="M20" s="232"/>
    </row>
    <row r="21" spans="1:13" s="167" customFormat="1" ht="21.95" customHeight="1">
      <c r="A21" s="490" t="s">
        <v>1026</v>
      </c>
      <c r="B21" s="490" t="s">
        <v>1088</v>
      </c>
      <c r="C21" s="123" t="s">
        <v>1056</v>
      </c>
      <c r="D21" s="230">
        <v>1</v>
      </c>
      <c r="E21" s="123"/>
      <c r="F21" s="230"/>
      <c r="G21" s="123" t="s">
        <v>1087</v>
      </c>
      <c r="H21" s="230">
        <v>1</v>
      </c>
      <c r="I21" s="176" t="s">
        <v>1039</v>
      </c>
      <c r="J21" s="225">
        <f t="shared" ref="J21:J31" ca="1" si="3">djs(I21,1)*H21</f>
        <v>14.2</v>
      </c>
      <c r="K21" s="228">
        <f t="shared" ref="K21:K31" ca="1" si="4">((djs(I21,0)+djs(I21,1))*D21)*H21</f>
        <v>65.400000000000006</v>
      </c>
      <c r="L21" s="229">
        <f t="shared" ref="L21:L31" ca="1" si="5">((djs(I21,0)+djs(I21,1))*F21)*H21</f>
        <v>0</v>
      </c>
      <c r="M21" s="232"/>
    </row>
    <row r="22" spans="1:13" s="167" customFormat="1" ht="21.95" customHeight="1">
      <c r="A22" s="490"/>
      <c r="B22" s="490"/>
      <c r="C22" s="123"/>
      <c r="D22" s="230"/>
      <c r="E22" s="123" t="s">
        <v>585</v>
      </c>
      <c r="F22" s="230">
        <v>1</v>
      </c>
      <c r="G22" s="123"/>
      <c r="H22" s="230">
        <v>1</v>
      </c>
      <c r="I22" s="176" t="s">
        <v>1097</v>
      </c>
      <c r="J22" s="225">
        <f t="shared" ca="1" si="3"/>
        <v>15.2</v>
      </c>
      <c r="K22" s="228">
        <f t="shared" ca="1" si="4"/>
        <v>0</v>
      </c>
      <c r="L22" s="229">
        <f t="shared" ca="1" si="5"/>
        <v>15.2</v>
      </c>
      <c r="M22" s="232"/>
    </row>
    <row r="23" spans="1:13" s="167" customFormat="1" ht="21.95" customHeight="1">
      <c r="A23" s="99"/>
      <c r="B23" s="99"/>
      <c r="C23" s="123"/>
      <c r="D23" s="230"/>
      <c r="E23" s="123"/>
      <c r="F23" s="230"/>
      <c r="G23" s="123"/>
      <c r="H23" s="230"/>
      <c r="I23" s="176"/>
      <c r="J23" s="225">
        <f t="shared" ca="1" si="3"/>
        <v>0</v>
      </c>
      <c r="K23" s="228">
        <f t="shared" ca="1" si="4"/>
        <v>0</v>
      </c>
      <c r="L23" s="229">
        <f t="shared" ca="1" si="5"/>
        <v>0</v>
      </c>
      <c r="M23" s="232"/>
    </row>
    <row r="24" spans="1:13" s="167" customFormat="1" ht="21.95" customHeight="1">
      <c r="A24" s="490" t="s">
        <v>1029</v>
      </c>
      <c r="B24" s="99" t="s">
        <v>1031</v>
      </c>
      <c r="C24" s="123" t="s">
        <v>1032</v>
      </c>
      <c r="D24" s="230">
        <v>1</v>
      </c>
      <c r="E24" s="123" t="s">
        <v>1033</v>
      </c>
      <c r="F24" s="230">
        <v>1</v>
      </c>
      <c r="G24" s="123" t="s">
        <v>1034</v>
      </c>
      <c r="H24" s="230">
        <v>2</v>
      </c>
      <c r="I24" s="176" t="s">
        <v>1035</v>
      </c>
      <c r="J24" s="225">
        <f t="shared" ca="1" si="3"/>
        <v>9</v>
      </c>
      <c r="K24" s="228">
        <f t="shared" ca="1" si="4"/>
        <v>11</v>
      </c>
      <c r="L24" s="229">
        <f t="shared" ca="1" si="5"/>
        <v>11</v>
      </c>
      <c r="M24" s="232"/>
    </row>
    <row r="25" spans="1:13" s="167" customFormat="1" ht="21.95" customHeight="1">
      <c r="A25" s="99"/>
      <c r="B25" s="99" t="s">
        <v>1036</v>
      </c>
      <c r="C25" s="123" t="s">
        <v>1037</v>
      </c>
      <c r="D25" s="230">
        <v>1</v>
      </c>
      <c r="E25" s="123"/>
      <c r="F25" s="230"/>
      <c r="G25" s="123" t="s">
        <v>1038</v>
      </c>
      <c r="H25" s="230">
        <v>1</v>
      </c>
      <c r="I25" s="176" t="s">
        <v>1035</v>
      </c>
      <c r="J25" s="225">
        <f t="shared" ca="1" si="3"/>
        <v>4.5</v>
      </c>
      <c r="K25" s="228">
        <f t="shared" ca="1" si="4"/>
        <v>5.5</v>
      </c>
      <c r="L25" s="229">
        <f t="shared" ca="1" si="5"/>
        <v>0</v>
      </c>
      <c r="M25" s="232"/>
    </row>
    <row r="26" spans="1:13" s="167" customFormat="1" ht="21.95" customHeight="1">
      <c r="A26" s="482"/>
      <c r="B26" s="118"/>
      <c r="C26" s="123"/>
      <c r="D26" s="230"/>
      <c r="E26" s="123"/>
      <c r="F26" s="230"/>
      <c r="G26" s="123"/>
      <c r="H26" s="230"/>
      <c r="I26" s="176"/>
      <c r="J26" s="225">
        <f t="shared" ca="1" si="3"/>
        <v>0</v>
      </c>
      <c r="K26" s="228">
        <f t="shared" ca="1" si="4"/>
        <v>0</v>
      </c>
      <c r="L26" s="229">
        <f t="shared" ca="1" si="5"/>
        <v>0</v>
      </c>
      <c r="M26" s="232"/>
    </row>
    <row r="27" spans="1:13" s="167" customFormat="1" ht="21.95" customHeight="1">
      <c r="A27" s="490" t="s">
        <v>1030</v>
      </c>
      <c r="B27" s="99" t="s">
        <v>1031</v>
      </c>
      <c r="C27" s="123" t="s">
        <v>1032</v>
      </c>
      <c r="D27" s="230">
        <v>1</v>
      </c>
      <c r="E27" s="123" t="s">
        <v>1033</v>
      </c>
      <c r="F27" s="230">
        <v>1</v>
      </c>
      <c r="G27" s="123" t="s">
        <v>1034</v>
      </c>
      <c r="H27" s="230">
        <v>2</v>
      </c>
      <c r="I27" s="176" t="s">
        <v>1035</v>
      </c>
      <c r="J27" s="225">
        <f t="shared" ca="1" si="3"/>
        <v>9</v>
      </c>
      <c r="K27" s="228">
        <f t="shared" ca="1" si="4"/>
        <v>11</v>
      </c>
      <c r="L27" s="229">
        <f t="shared" ca="1" si="5"/>
        <v>11</v>
      </c>
      <c r="M27" s="232"/>
    </row>
    <row r="28" spans="1:13" s="167" customFormat="1" ht="21.95" customHeight="1">
      <c r="A28" s="99"/>
      <c r="B28" s="99" t="s">
        <v>1036</v>
      </c>
      <c r="C28" s="123" t="s">
        <v>1037</v>
      </c>
      <c r="D28" s="230">
        <v>1</v>
      </c>
      <c r="E28" s="123"/>
      <c r="F28" s="230"/>
      <c r="G28" s="123" t="s">
        <v>1038</v>
      </c>
      <c r="H28" s="230">
        <v>1</v>
      </c>
      <c r="I28" s="176" t="s">
        <v>1035</v>
      </c>
      <c r="J28" s="225">
        <f t="shared" ca="1" si="3"/>
        <v>4.5</v>
      </c>
      <c r="K28" s="228">
        <f t="shared" ca="1" si="4"/>
        <v>5.5</v>
      </c>
      <c r="L28" s="229">
        <f t="shared" ca="1" si="5"/>
        <v>0</v>
      </c>
      <c r="M28" s="232"/>
    </row>
    <row r="29" spans="1:13" s="167" customFormat="1" ht="21.95" customHeight="1">
      <c r="A29" s="99"/>
      <c r="B29" s="118"/>
      <c r="C29" s="123"/>
      <c r="D29" s="230"/>
      <c r="E29" s="123"/>
      <c r="F29" s="230"/>
      <c r="G29" s="123"/>
      <c r="H29" s="230"/>
      <c r="I29" s="176"/>
      <c r="J29" s="225">
        <f t="shared" ca="1" si="3"/>
        <v>0</v>
      </c>
      <c r="K29" s="228">
        <f t="shared" ca="1" si="4"/>
        <v>0</v>
      </c>
      <c r="L29" s="229">
        <f t="shared" ca="1" si="5"/>
        <v>0</v>
      </c>
      <c r="M29" s="232"/>
    </row>
    <row r="30" spans="1:13" s="167" customFormat="1" ht="21.95" customHeight="1">
      <c r="A30" s="490" t="s">
        <v>1090</v>
      </c>
      <c r="B30" s="490" t="s">
        <v>1089</v>
      </c>
      <c r="C30" s="123" t="s">
        <v>1056</v>
      </c>
      <c r="D30" s="230">
        <v>1</v>
      </c>
      <c r="E30" s="123"/>
      <c r="F30" s="230"/>
      <c r="G30" s="123" t="s">
        <v>1087</v>
      </c>
      <c r="H30" s="230">
        <v>1</v>
      </c>
      <c r="I30" s="176" t="s">
        <v>1098</v>
      </c>
      <c r="J30" s="225">
        <f t="shared" ca="1" si="3"/>
        <v>14.2</v>
      </c>
      <c r="K30" s="228">
        <f t="shared" ca="1" si="4"/>
        <v>62.900000000000006</v>
      </c>
      <c r="L30" s="229">
        <f t="shared" ca="1" si="5"/>
        <v>0</v>
      </c>
      <c r="M30" s="232"/>
    </row>
    <row r="31" spans="1:13" s="167" customFormat="1" ht="21.95" customHeight="1">
      <c r="A31" s="490"/>
      <c r="B31" s="490"/>
      <c r="C31" s="123"/>
      <c r="D31" s="230"/>
      <c r="E31" s="123" t="s">
        <v>585</v>
      </c>
      <c r="F31" s="230">
        <v>1</v>
      </c>
      <c r="G31" s="123"/>
      <c r="H31" s="230">
        <v>1</v>
      </c>
      <c r="I31" s="176" t="s">
        <v>1099</v>
      </c>
      <c r="J31" s="225">
        <f t="shared" ca="1" si="3"/>
        <v>14.2</v>
      </c>
      <c r="K31" s="228">
        <f t="shared" ca="1" si="4"/>
        <v>0</v>
      </c>
      <c r="L31" s="229">
        <f t="shared" ca="1" si="5"/>
        <v>15.2</v>
      </c>
      <c r="M31" s="232"/>
    </row>
    <row r="32" spans="1:13" s="167" customFormat="1" ht="21.95" customHeight="1">
      <c r="A32" s="99"/>
      <c r="B32" s="99"/>
      <c r="C32" s="123"/>
      <c r="D32" s="230"/>
      <c r="E32" s="123"/>
      <c r="F32" s="230"/>
      <c r="G32" s="123"/>
      <c r="H32" s="230"/>
      <c r="I32" s="176"/>
      <c r="J32" s="225"/>
      <c r="K32" s="228"/>
      <c r="L32" s="229"/>
      <c r="M32" s="232"/>
    </row>
    <row r="33" spans="1:13" s="167" customFormat="1" ht="21.95" customHeight="1">
      <c r="A33" s="490" t="s">
        <v>1090</v>
      </c>
      <c r="B33" s="490" t="s">
        <v>1089</v>
      </c>
      <c r="C33" s="123" t="s">
        <v>1056</v>
      </c>
      <c r="D33" s="230">
        <v>1</v>
      </c>
      <c r="E33" s="123"/>
      <c r="F33" s="230"/>
      <c r="G33" s="123" t="s">
        <v>1087</v>
      </c>
      <c r="H33" s="230">
        <v>1</v>
      </c>
      <c r="I33" s="176" t="s">
        <v>1091</v>
      </c>
      <c r="J33" s="225">
        <f ca="1">djs(I33,1)*H33</f>
        <v>5.7</v>
      </c>
      <c r="K33" s="228">
        <f ca="1">((djs(I33,0)+djs(I33,1))*D33)*H33</f>
        <v>26.4</v>
      </c>
      <c r="L33" s="229">
        <f ca="1">((djs(I33,0)+djs(I33,1))*F33)*H33</f>
        <v>0</v>
      </c>
      <c r="M33" s="232"/>
    </row>
    <row r="34" spans="1:13" s="167" customFormat="1" ht="21.95" customHeight="1">
      <c r="A34" s="490"/>
      <c r="B34" s="490"/>
      <c r="C34" s="123"/>
      <c r="D34" s="230"/>
      <c r="E34" s="123" t="s">
        <v>585</v>
      </c>
      <c r="F34" s="230">
        <v>1</v>
      </c>
      <c r="G34" s="123"/>
      <c r="H34" s="230">
        <v>1</v>
      </c>
      <c r="I34" s="176" t="s">
        <v>1100</v>
      </c>
      <c r="J34" s="225">
        <f ca="1">djs(I34,1)*H34</f>
        <v>5.7</v>
      </c>
      <c r="K34" s="228">
        <f ca="1">((djs(I34,0)+djs(I34,1))*D34)*H34</f>
        <v>0</v>
      </c>
      <c r="L34" s="229">
        <f ca="1">((djs(I34,0)+djs(I34,1))*F34)*H34</f>
        <v>6.7</v>
      </c>
      <c r="M34" s="232"/>
    </row>
    <row r="35" spans="1:13" s="167" customFormat="1" ht="21.95" customHeight="1">
      <c r="A35" s="482"/>
      <c r="B35" s="482"/>
      <c r="C35" s="123"/>
      <c r="D35" s="230"/>
      <c r="E35" s="123"/>
      <c r="F35" s="230"/>
      <c r="G35" s="123"/>
      <c r="H35" s="230"/>
      <c r="I35" s="176"/>
      <c r="J35" s="225"/>
      <c r="K35" s="228"/>
      <c r="L35" s="229"/>
      <c r="M35" s="232"/>
    </row>
    <row r="36" spans="1:13" s="167" customFormat="1" ht="21.95" customHeight="1">
      <c r="A36" s="490" t="s">
        <v>1026</v>
      </c>
      <c r="B36" s="490" t="s">
        <v>1042</v>
      </c>
      <c r="C36" s="123" t="s">
        <v>1043</v>
      </c>
      <c r="D36" s="230">
        <v>1</v>
      </c>
      <c r="E36" s="123"/>
      <c r="F36" s="230"/>
      <c r="G36" s="123" t="s">
        <v>1028</v>
      </c>
      <c r="H36" s="230">
        <v>1</v>
      </c>
      <c r="I36" s="176" t="s">
        <v>1044</v>
      </c>
      <c r="J36" s="225">
        <f ca="1">djs(I36,1)*H36</f>
        <v>5.5</v>
      </c>
      <c r="K36" s="228">
        <f ca="1">((djs(I36,0)+djs(I36,1))*D36)*H36</f>
        <v>22.2</v>
      </c>
      <c r="L36" s="229">
        <f ca="1">((djs(I36,0)+djs(I36,1))*F36)*H36</f>
        <v>0</v>
      </c>
      <c r="M36" s="232"/>
    </row>
    <row r="37" spans="1:13" s="167" customFormat="1" ht="21.95" customHeight="1">
      <c r="A37" s="490"/>
      <c r="B37" s="490"/>
      <c r="C37" s="123"/>
      <c r="D37" s="230"/>
      <c r="E37" s="123" t="s">
        <v>582</v>
      </c>
      <c r="F37" s="230">
        <v>1</v>
      </c>
      <c r="G37" s="123"/>
      <c r="H37" s="230">
        <v>1</v>
      </c>
      <c r="I37" s="176" t="s">
        <v>1101</v>
      </c>
      <c r="J37" s="225">
        <f ca="1">djs(I37,1)*H37</f>
        <v>5.5</v>
      </c>
      <c r="K37" s="228">
        <f ca="1">((djs(I37,0)+djs(I37,1))*D37)*H37</f>
        <v>0</v>
      </c>
      <c r="L37" s="229">
        <f ca="1">((djs(I37,0)+djs(I37,1))*F37)*H37</f>
        <v>6.5</v>
      </c>
      <c r="M37" s="232"/>
    </row>
    <row r="38" spans="1:13" s="167" customFormat="1" ht="21.95" customHeight="1">
      <c r="A38" s="482"/>
      <c r="B38" s="99"/>
      <c r="C38" s="123"/>
      <c r="D38" s="230"/>
      <c r="E38" s="123"/>
      <c r="F38" s="230"/>
      <c r="G38" s="123"/>
      <c r="H38" s="230"/>
      <c r="I38" s="176"/>
      <c r="J38" s="225"/>
      <c r="K38" s="228"/>
      <c r="L38" s="229"/>
      <c r="M38" s="232"/>
    </row>
    <row r="39" spans="1:13" s="167" customFormat="1" ht="21.95" customHeight="1">
      <c r="A39" s="490" t="s">
        <v>1040</v>
      </c>
      <c r="B39" s="99" t="s">
        <v>1031</v>
      </c>
      <c r="C39" s="123" t="s">
        <v>1032</v>
      </c>
      <c r="D39" s="230">
        <v>1</v>
      </c>
      <c r="E39" s="123" t="s">
        <v>1033</v>
      </c>
      <c r="F39" s="230">
        <v>1</v>
      </c>
      <c r="G39" s="123" t="s">
        <v>1034</v>
      </c>
      <c r="H39" s="230">
        <v>2</v>
      </c>
      <c r="I39" s="176" t="s">
        <v>1035</v>
      </c>
      <c r="J39" s="225">
        <f ca="1">djs(I39,1)*H39</f>
        <v>9</v>
      </c>
      <c r="K39" s="228">
        <f ca="1">((djs(I39,0)+djs(I39,1))*D39)*H39</f>
        <v>11</v>
      </c>
      <c r="L39" s="229">
        <f ca="1">((djs(I39,0)+djs(I39,1))*F39)*H39</f>
        <v>11</v>
      </c>
      <c r="M39" s="232"/>
    </row>
    <row r="40" spans="1:13" s="167" customFormat="1" ht="21.95" customHeight="1">
      <c r="A40" s="99"/>
      <c r="B40" s="99" t="s">
        <v>1036</v>
      </c>
      <c r="C40" s="123" t="s">
        <v>1037</v>
      </c>
      <c r="D40" s="230">
        <v>1</v>
      </c>
      <c r="E40" s="123"/>
      <c r="F40" s="230"/>
      <c r="G40" s="123" t="s">
        <v>1038</v>
      </c>
      <c r="H40" s="230">
        <v>1</v>
      </c>
      <c r="I40" s="176" t="s">
        <v>1035</v>
      </c>
      <c r="J40" s="225">
        <f ca="1">djs(I40,1)*H40</f>
        <v>4.5</v>
      </c>
      <c r="K40" s="228">
        <f ca="1">((djs(I40,0)+djs(I40,1))*D40)*H40</f>
        <v>5.5</v>
      </c>
      <c r="L40" s="229">
        <f ca="1">((djs(I40,0)+djs(I40,1))*F40)*H40</f>
        <v>0</v>
      </c>
      <c r="M40" s="232"/>
    </row>
    <row r="41" spans="1:13" s="167" customFormat="1" ht="21.95" customHeight="1">
      <c r="A41" s="482"/>
      <c r="B41" s="118"/>
      <c r="C41" s="123"/>
      <c r="D41" s="230"/>
      <c r="E41" s="123"/>
      <c r="F41" s="230"/>
      <c r="G41" s="123"/>
      <c r="H41" s="230"/>
      <c r="I41" s="176"/>
      <c r="J41" s="225">
        <f ca="1">djs(I41,1)*H41</f>
        <v>0</v>
      </c>
      <c r="K41" s="228">
        <f ca="1">((djs(I41,0)+djs(I41,1))*D41)*H41</f>
        <v>0</v>
      </c>
      <c r="L41" s="229">
        <f ca="1">((djs(I41,0)+djs(I41,1))*F41)*H41</f>
        <v>0</v>
      </c>
      <c r="M41" s="232"/>
    </row>
    <row r="42" spans="1:13" s="167" customFormat="1" ht="21.95" customHeight="1">
      <c r="A42" s="490" t="s">
        <v>1041</v>
      </c>
      <c r="B42" s="99" t="s">
        <v>1031</v>
      </c>
      <c r="C42" s="123" t="s">
        <v>1032</v>
      </c>
      <c r="D42" s="230">
        <v>1</v>
      </c>
      <c r="E42" s="123" t="s">
        <v>1033</v>
      </c>
      <c r="F42" s="230">
        <v>1</v>
      </c>
      <c r="G42" s="123" t="s">
        <v>1034</v>
      </c>
      <c r="H42" s="230">
        <v>2</v>
      </c>
      <c r="I42" s="176" t="s">
        <v>1035</v>
      </c>
      <c r="J42" s="225">
        <f ca="1">djs(I42,1)*H42</f>
        <v>9</v>
      </c>
      <c r="K42" s="228">
        <f ca="1">((djs(I42,0)+djs(I42,1))*D42)*H42</f>
        <v>11</v>
      </c>
      <c r="L42" s="229">
        <f ca="1">((djs(I42,0)+djs(I42,1))*F42)*H42</f>
        <v>11</v>
      </c>
      <c r="M42" s="232"/>
    </row>
    <row r="43" spans="1:13" s="167" customFormat="1" ht="21.95" customHeight="1">
      <c r="A43" s="99"/>
      <c r="B43" s="99" t="s">
        <v>1036</v>
      </c>
      <c r="C43" s="123" t="s">
        <v>1037</v>
      </c>
      <c r="D43" s="230">
        <v>1</v>
      </c>
      <c r="E43" s="123"/>
      <c r="F43" s="230"/>
      <c r="G43" s="123" t="s">
        <v>1038</v>
      </c>
      <c r="H43" s="230">
        <v>1</v>
      </c>
      <c r="I43" s="176" t="s">
        <v>1035</v>
      </c>
      <c r="J43" s="225">
        <f ca="1">djs(I43,1)*H43</f>
        <v>4.5</v>
      </c>
      <c r="K43" s="228">
        <f ca="1">((djs(I43,0)+djs(I43,1))*D43)*H43</f>
        <v>5.5</v>
      </c>
      <c r="L43" s="229">
        <f ca="1">((djs(I43,0)+djs(I43,1))*F43)*H43</f>
        <v>0</v>
      </c>
      <c r="M43" s="232"/>
    </row>
    <row r="44" spans="1:13" s="167" customFormat="1" ht="21.95" customHeight="1">
      <c r="A44" s="99"/>
      <c r="B44" s="99"/>
      <c r="C44" s="123"/>
      <c r="D44" s="230"/>
      <c r="E44" s="123"/>
      <c r="F44" s="230"/>
      <c r="G44" s="123"/>
      <c r="H44" s="230"/>
      <c r="I44" s="176"/>
      <c r="J44" s="225"/>
      <c r="K44" s="228"/>
      <c r="L44" s="229"/>
      <c r="M44" s="232"/>
    </row>
    <row r="45" spans="1:13" s="167" customFormat="1" ht="21.95" customHeight="1">
      <c r="A45" s="118" t="s">
        <v>1054</v>
      </c>
      <c r="B45" s="118" t="s">
        <v>1055</v>
      </c>
      <c r="C45" s="123" t="s">
        <v>1056</v>
      </c>
      <c r="D45" s="230">
        <v>1</v>
      </c>
      <c r="E45" s="123" t="s">
        <v>1057</v>
      </c>
      <c r="F45" s="230">
        <v>1</v>
      </c>
      <c r="G45" s="123" t="s">
        <v>1058</v>
      </c>
      <c r="H45" s="230">
        <v>1</v>
      </c>
      <c r="I45" s="176" t="s">
        <v>1059</v>
      </c>
      <c r="J45" s="225">
        <f ca="1">djs(I45,1)*H45</f>
        <v>1.5</v>
      </c>
      <c r="K45" s="228">
        <f ca="1">((djs(I45,0)+djs(I45,1))*D45)*H45</f>
        <v>3.5</v>
      </c>
      <c r="L45" s="229">
        <f ca="1">((djs(I45,0)+djs(I45,1))*F45)*H45</f>
        <v>3.5</v>
      </c>
      <c r="M45" s="232"/>
    </row>
    <row r="46" spans="1:13" s="167" customFormat="1" ht="21.95" customHeight="1">
      <c r="A46" s="99"/>
      <c r="B46" s="99"/>
      <c r="C46" s="123"/>
      <c r="D46" s="230"/>
      <c r="E46" s="123"/>
      <c r="F46" s="230"/>
      <c r="G46" s="123"/>
      <c r="H46" s="230"/>
      <c r="I46" s="176"/>
      <c r="J46" s="225"/>
      <c r="K46" s="228"/>
      <c r="L46" s="229"/>
      <c r="M46" s="232"/>
    </row>
    <row r="47" spans="1:13" s="167" customFormat="1" ht="21.95" customHeight="1">
      <c r="A47" s="118" t="s">
        <v>1060</v>
      </c>
      <c r="B47" s="118" t="s">
        <v>1054</v>
      </c>
      <c r="C47" s="123" t="s">
        <v>1056</v>
      </c>
      <c r="D47" s="230">
        <v>1</v>
      </c>
      <c r="E47" s="123" t="s">
        <v>1057</v>
      </c>
      <c r="F47" s="230">
        <v>1</v>
      </c>
      <c r="G47" s="123" t="s">
        <v>1058</v>
      </c>
      <c r="H47" s="230">
        <v>1</v>
      </c>
      <c r="I47" s="176" t="s">
        <v>1061</v>
      </c>
      <c r="J47" s="225">
        <f ca="1">djs(I47,1)*H47</f>
        <v>7.5</v>
      </c>
      <c r="K47" s="228">
        <f ca="1">((djs(I47,0)+djs(I47,1))*D47)*H47</f>
        <v>9.5</v>
      </c>
      <c r="L47" s="229">
        <f ca="1">((djs(I47,0)+djs(I47,1))*F47)*H47</f>
        <v>9.5</v>
      </c>
      <c r="M47" s="232"/>
    </row>
    <row r="48" spans="1:13" s="167" customFormat="1" ht="21.95" customHeight="1">
      <c r="A48" s="99"/>
      <c r="B48" s="99"/>
      <c r="C48" s="123"/>
      <c r="D48" s="230"/>
      <c r="E48" s="123"/>
      <c r="F48" s="230"/>
      <c r="G48" s="123"/>
      <c r="H48" s="230"/>
      <c r="I48" s="176"/>
      <c r="J48" s="225"/>
      <c r="K48" s="228"/>
      <c r="L48" s="229"/>
      <c r="M48" s="232"/>
    </row>
    <row r="49" spans="1:13" s="167" customFormat="1" ht="21.95" customHeight="1">
      <c r="A49" s="99"/>
      <c r="B49" s="118" t="s">
        <v>1062</v>
      </c>
      <c r="C49" s="123" t="s">
        <v>1063</v>
      </c>
      <c r="D49" s="230">
        <v>2</v>
      </c>
      <c r="E49" s="123" t="s">
        <v>1057</v>
      </c>
      <c r="F49" s="230">
        <v>1</v>
      </c>
      <c r="G49" s="123" t="s">
        <v>1064</v>
      </c>
      <c r="H49" s="230">
        <v>1</v>
      </c>
      <c r="I49" s="176" t="s">
        <v>1065</v>
      </c>
      <c r="J49" s="225">
        <f ca="1">djs(I49,1)*H49</f>
        <v>11</v>
      </c>
      <c r="K49" s="228">
        <f ca="1">((djs(I49,0)+djs(I49,1))*D49)*H49</f>
        <v>24</v>
      </c>
      <c r="L49" s="229">
        <f ca="1">((djs(I49,0)+djs(I49,1))*F49)*H49</f>
        <v>12</v>
      </c>
      <c r="M49" s="232"/>
    </row>
    <row r="50" spans="1:13" s="167" customFormat="1" ht="21.95" customHeight="1">
      <c r="A50" s="99"/>
      <c r="B50" s="99"/>
      <c r="C50" s="123" t="s">
        <v>1063</v>
      </c>
      <c r="D50" s="230">
        <v>2</v>
      </c>
      <c r="E50" s="123" t="s">
        <v>1057</v>
      </c>
      <c r="F50" s="230">
        <v>1</v>
      </c>
      <c r="G50" s="123" t="s">
        <v>1066</v>
      </c>
      <c r="H50" s="230">
        <v>1</v>
      </c>
      <c r="I50" s="176">
        <v>2</v>
      </c>
      <c r="J50" s="225">
        <f ca="1">djs(I50,1)*H50</f>
        <v>2</v>
      </c>
      <c r="K50" s="228">
        <f ca="1">((djs(I50,0)+djs(I50,1))*D50)*H50</f>
        <v>4</v>
      </c>
      <c r="L50" s="229">
        <f ca="1">((djs(I50,0)+djs(I50,1))*F50)*H50</f>
        <v>2</v>
      </c>
      <c r="M50" s="232"/>
    </row>
    <row r="51" spans="1:13" s="167" customFormat="1" ht="21.95" customHeight="1">
      <c r="A51" s="99"/>
      <c r="B51" s="99"/>
      <c r="C51" s="123"/>
      <c r="D51" s="230"/>
      <c r="E51" s="123"/>
      <c r="F51" s="230"/>
      <c r="G51" s="123"/>
      <c r="H51" s="230"/>
      <c r="I51" s="176"/>
      <c r="J51" s="225"/>
      <c r="K51" s="228"/>
      <c r="L51" s="229"/>
      <c r="M51" s="232"/>
    </row>
    <row r="52" spans="1:13" s="167" customFormat="1" ht="21.95" customHeight="1">
      <c r="A52" s="99"/>
      <c r="B52" s="99" t="s">
        <v>1067</v>
      </c>
      <c r="C52" s="123" t="s">
        <v>1068</v>
      </c>
      <c r="D52" s="230">
        <v>1</v>
      </c>
      <c r="E52" s="123" t="s">
        <v>1069</v>
      </c>
      <c r="F52" s="230">
        <v>1</v>
      </c>
      <c r="G52" s="123" t="s">
        <v>1070</v>
      </c>
      <c r="H52" s="230">
        <v>2</v>
      </c>
      <c r="I52" s="176" t="s">
        <v>1072</v>
      </c>
      <c r="J52" s="225">
        <f ca="1">djs(I52,1)*H52</f>
        <v>25</v>
      </c>
      <c r="K52" s="228">
        <f ca="1">((djs(I52,0)+djs(I52,1))*D52)*H52</f>
        <v>27</v>
      </c>
      <c r="L52" s="229">
        <f ca="1">((djs(I52,0)+djs(I52,1))*F52)*H52</f>
        <v>27</v>
      </c>
      <c r="M52" s="232"/>
    </row>
    <row r="53" spans="1:13" s="167" customFormat="1" ht="21.95" customHeight="1">
      <c r="A53" s="99"/>
      <c r="B53" s="99"/>
      <c r="C53" s="123" t="s">
        <v>1068</v>
      </c>
      <c r="D53" s="230">
        <v>1</v>
      </c>
      <c r="E53" s="123" t="s">
        <v>1069</v>
      </c>
      <c r="F53" s="230">
        <v>1</v>
      </c>
      <c r="G53" s="123" t="s">
        <v>1071</v>
      </c>
      <c r="H53" s="230">
        <v>2</v>
      </c>
      <c r="I53" s="176">
        <v>2</v>
      </c>
      <c r="J53" s="225">
        <f ca="1">djs(I53,1)*H53</f>
        <v>4</v>
      </c>
      <c r="K53" s="228">
        <f ca="1">((djs(I53,0)+djs(I53,1))*D53)*H53</f>
        <v>4</v>
      </c>
      <c r="L53" s="229">
        <f ca="1">((djs(I53,0)+djs(I53,1))*F53)*H53</f>
        <v>4</v>
      </c>
      <c r="M53" s="232"/>
    </row>
    <row r="54" spans="1:13" s="167" customFormat="1" ht="21.95" customHeight="1">
      <c r="A54" s="99"/>
      <c r="B54" s="99"/>
      <c r="C54" s="123"/>
      <c r="D54" s="230"/>
      <c r="E54" s="123"/>
      <c r="F54" s="230"/>
      <c r="G54" s="123"/>
      <c r="H54" s="230"/>
      <c r="I54" s="176"/>
      <c r="J54" s="225">
        <f ca="1">djs(I54,1)*H54</f>
        <v>0</v>
      </c>
      <c r="K54" s="228">
        <f ca="1">((djs(I54,0)+djs(I54,1))*D54)*H54</f>
        <v>0</v>
      </c>
      <c r="L54" s="229">
        <f ca="1">((djs(I54,0)+djs(I54,1))*F54)*H54</f>
        <v>0</v>
      </c>
      <c r="M54" s="232"/>
    </row>
    <row r="55" spans="1:13" s="167" customFormat="1" ht="21.95" customHeight="1">
      <c r="A55" s="99"/>
      <c r="B55" s="99" t="s">
        <v>1073</v>
      </c>
      <c r="C55" s="123" t="s">
        <v>1074</v>
      </c>
      <c r="D55" s="230">
        <v>1</v>
      </c>
      <c r="E55" s="123"/>
      <c r="F55" s="230"/>
      <c r="G55" s="123" t="s">
        <v>1076</v>
      </c>
      <c r="H55" s="230">
        <v>1</v>
      </c>
      <c r="I55" s="176" t="s">
        <v>1072</v>
      </c>
      <c r="J55" s="225">
        <f ca="1">djs(I55,1)*H55</f>
        <v>12.5</v>
      </c>
      <c r="K55" s="228">
        <f ca="1">((djs(I55,0)+djs(I55,1))*D55)*H55</f>
        <v>13.5</v>
      </c>
      <c r="L55" s="229">
        <f ca="1">((djs(I55,0)+djs(I55,1))*F55)*H55</f>
        <v>0</v>
      </c>
      <c r="M55" s="232"/>
    </row>
    <row r="56" spans="1:13" s="167" customFormat="1" ht="21.95" customHeight="1">
      <c r="A56" s="99"/>
      <c r="B56" s="99"/>
      <c r="C56" s="123" t="s">
        <v>1074</v>
      </c>
      <c r="D56" s="230">
        <v>1</v>
      </c>
      <c r="E56" s="123"/>
      <c r="F56" s="230"/>
      <c r="G56" s="123" t="s">
        <v>1077</v>
      </c>
      <c r="H56" s="230">
        <v>1</v>
      </c>
      <c r="I56" s="176">
        <v>2</v>
      </c>
      <c r="J56" s="225">
        <f ca="1">djs(I56,1)*H56</f>
        <v>2</v>
      </c>
      <c r="K56" s="228">
        <f ca="1">((djs(I56,0)+djs(I56,1))*D56)*H56</f>
        <v>2</v>
      </c>
      <c r="L56" s="229">
        <f ca="1">((djs(I56,0)+djs(I56,1))*F56)*H56</f>
        <v>0</v>
      </c>
      <c r="M56" s="232"/>
    </row>
    <row r="57" spans="1:13" s="167" customFormat="1" ht="21.95" customHeight="1">
      <c r="A57" s="99"/>
      <c r="B57" s="99"/>
      <c r="C57" s="123"/>
      <c r="D57" s="230"/>
      <c r="E57" s="123"/>
      <c r="F57" s="230"/>
      <c r="G57" s="123"/>
      <c r="H57" s="230"/>
      <c r="I57" s="176"/>
      <c r="J57" s="225"/>
      <c r="K57" s="228"/>
      <c r="L57" s="229"/>
      <c r="M57" s="232"/>
    </row>
    <row r="58" spans="1:13" s="167" customFormat="1" ht="21.95" customHeight="1">
      <c r="A58" s="99"/>
      <c r="B58" s="99"/>
      <c r="C58" s="123"/>
      <c r="D58" s="230"/>
      <c r="E58" s="123"/>
      <c r="F58" s="230"/>
      <c r="G58" s="123"/>
      <c r="H58" s="230"/>
      <c r="I58" s="176"/>
      <c r="J58" s="225"/>
      <c r="K58" s="228"/>
      <c r="L58" s="229"/>
      <c r="M58" s="232"/>
    </row>
    <row r="59" spans="1:13" s="271" customFormat="1" ht="21.95" customHeight="1">
      <c r="A59" s="261"/>
      <c r="B59" s="262"/>
      <c r="C59" s="265"/>
      <c r="D59" s="264"/>
      <c r="E59" s="265"/>
      <c r="F59" s="264"/>
      <c r="G59" s="265"/>
      <c r="H59" s="264"/>
      <c r="I59" s="266"/>
      <c r="J59" s="267"/>
      <c r="K59" s="268"/>
      <c r="L59" s="269"/>
      <c r="M59" s="270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39">
    <tabColor rgb="FFFFFF00"/>
  </sheetPr>
  <dimension ref="A1:Y29"/>
  <sheetViews>
    <sheetView showZeros="0" view="pageBreakPreview" zoomScaleSheetLayoutView="100" workbookViewId="0">
      <pane xSplit="3" ySplit="3" topLeftCell="D13" activePane="bottomRight" state="frozen"/>
      <selection activeCell="H20" sqref="H20"/>
      <selection pane="topRight" activeCell="H20" sqref="H20"/>
      <selection pane="bottomLeft" activeCell="H20" sqref="H20"/>
      <selection pane="bottomRight" activeCell="X30" sqref="X30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5.33203125" style="96" customWidth="1"/>
    <col min="22" max="22" width="5.33203125" style="121" customWidth="1"/>
    <col min="23" max="23" width="6.77734375" style="162" customWidth="1"/>
    <col min="24" max="24" width="4.77734375" style="162" customWidth="1"/>
    <col min="25" max="16384" width="8.88671875" style="162"/>
  </cols>
  <sheetData>
    <row r="1" spans="1:25" ht="21.95" customHeight="1">
      <c r="A1" s="676" t="str">
        <f>'1.인입(산)'!A1</f>
        <v xml:space="preserve">1. 전기인입설비공사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80"/>
      <c r="V1" s="79"/>
      <c r="W1" s="117"/>
    </row>
    <row r="2" spans="1:25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73" t="s">
        <v>146</v>
      </c>
      <c r="R2" s="673"/>
      <c r="S2" s="616" t="s">
        <v>1512</v>
      </c>
      <c r="T2" s="616"/>
      <c r="U2" s="616" t="s">
        <v>1513</v>
      </c>
      <c r="V2" s="616"/>
      <c r="W2" s="616" t="s">
        <v>309</v>
      </c>
    </row>
    <row r="3" spans="1:25" ht="21.95" customHeight="1">
      <c r="A3" s="616"/>
      <c r="B3" s="616"/>
      <c r="C3" s="616"/>
      <c r="D3" s="101"/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83" t="s">
        <v>310</v>
      </c>
      <c r="V3" s="21" t="s">
        <v>311</v>
      </c>
      <c r="W3" s="616"/>
    </row>
    <row r="4" spans="1:25" ht="21.95" customHeight="1">
      <c r="A4" s="110" t="s">
        <v>1081</v>
      </c>
      <c r="B4" s="123" t="s">
        <v>1070</v>
      </c>
      <c r="C4" s="497" t="s">
        <v>407</v>
      </c>
      <c r="D4" s="84">
        <f ca="1">SUM(SUMIF('1.인입(산)'!$C$3:$C$25,B4,'1.인입(산)'!$K$3:$K$25),SUMIF('1.인입(산)'!$E$3:$E$25,B4,'1.인입(산)'!$L$3:$L$25),SUMIF('1.인입(산)'!$G$3:$G$25,B4,'1.인입(산)'!$J$3:$J$25))</f>
        <v>41.5</v>
      </c>
      <c r="E4" s="84"/>
      <c r="F4" s="84"/>
      <c r="G4" s="84"/>
      <c r="H4" s="84"/>
      <c r="I4" s="84"/>
      <c r="J4" s="112">
        <f t="shared" ref="J4" ca="1" si="0">SUM(D4:I4)</f>
        <v>41.5</v>
      </c>
      <c r="K4" s="85">
        <v>0.1</v>
      </c>
      <c r="L4" s="22">
        <f t="shared" ref="L4" ca="1" si="1">ROUND(J4+(J4*K4),0)</f>
        <v>46</v>
      </c>
      <c r="M4" s="86">
        <v>0.14000000000000001</v>
      </c>
      <c r="N4" s="22">
        <f t="shared" ref="N4" ca="1" si="2">ROUNDDOWN($J4*M4,4)</f>
        <v>5.81</v>
      </c>
      <c r="O4" s="86"/>
      <c r="P4" s="22"/>
      <c r="Q4" s="86"/>
      <c r="R4" s="22">
        <f t="shared" ref="R4" ca="1" si="3">ROUNDDOWN($J4*Q4,4)</f>
        <v>0</v>
      </c>
      <c r="S4" s="86"/>
      <c r="T4" s="22">
        <f t="shared" ref="T4" ca="1" si="4">ROUNDDOWN($J4*S4,4)</f>
        <v>0</v>
      </c>
      <c r="U4" s="86"/>
      <c r="V4" s="22">
        <f t="shared" ref="V4" ca="1" si="5">ROUNDDOWN($J4*U4,4)</f>
        <v>0</v>
      </c>
      <c r="W4" s="87" t="s">
        <v>102</v>
      </c>
    </row>
    <row r="5" spans="1:25" ht="21.95" customHeight="1">
      <c r="A5" s="110" t="s">
        <v>1221</v>
      </c>
      <c r="B5" s="123" t="s">
        <v>1761</v>
      </c>
      <c r="C5" s="497" t="s">
        <v>407</v>
      </c>
      <c r="D5" s="84">
        <f ca="1">SUM(SUMIF('1.인입(산)'!$C$3:$C$25,B5,'1.인입(산)'!$K$3:$K$25),SUMIF('1.인입(산)'!$E$3:$E$25,B5,'1.인입(산)'!$L$3:$L$25),SUMIF('1.인입(산)'!$G$3:$G$25,B5,'1.인입(산)'!$J$3:$J$25))</f>
        <v>151.5</v>
      </c>
      <c r="E5" s="84"/>
      <c r="F5" s="84"/>
      <c r="G5" s="84"/>
      <c r="H5" s="84"/>
      <c r="I5" s="84"/>
      <c r="J5" s="112">
        <f t="shared" ref="J5" ca="1" si="6">SUM(D5:I5)</f>
        <v>151.5</v>
      </c>
      <c r="K5" s="85">
        <v>0.1</v>
      </c>
      <c r="L5" s="22">
        <f t="shared" ref="L5" ca="1" si="7">ROUND(J5+(J5*K5),0)</f>
        <v>167</v>
      </c>
      <c r="M5" s="86">
        <f>0.008*1.5</f>
        <v>1.2E-2</v>
      </c>
      <c r="N5" s="22">
        <f t="shared" ref="N5:N8" ca="1" si="8">ROUNDDOWN($J5*M5,4)</f>
        <v>1.8180000000000001</v>
      </c>
      <c r="O5" s="86"/>
      <c r="P5" s="22"/>
      <c r="Q5" s="86"/>
      <c r="R5" s="22"/>
      <c r="S5" s="86"/>
      <c r="T5" s="22"/>
      <c r="U5" s="86"/>
      <c r="V5" s="22"/>
      <c r="W5" s="87" t="s">
        <v>961</v>
      </c>
    </row>
    <row r="6" spans="1:25" ht="21.95" customHeight="1">
      <c r="A6" s="110" t="s">
        <v>1502</v>
      </c>
      <c r="B6" s="123" t="s">
        <v>1785</v>
      </c>
      <c r="C6" s="497" t="s">
        <v>407</v>
      </c>
      <c r="D6" s="84">
        <f ca="1">SUM(SUMIF('1.인입(산)'!$C$3:$C$25,B6,'1.인입(산)'!$K$3:$K$25),SUMIF('1.인입(산)'!$E$3:$E$25,B6,'1.인입(산)'!$L$3:$L$25),SUMIF('1.인입(산)'!$G$3:$G$25,B6,'1.인입(산)'!$J$3:$J$25))</f>
        <v>756</v>
      </c>
      <c r="E6" s="84"/>
      <c r="F6" s="84"/>
      <c r="G6" s="84"/>
      <c r="H6" s="84"/>
      <c r="I6" s="84"/>
      <c r="J6" s="112">
        <f t="shared" ref="J6" ca="1" si="9">SUM(D6:I6)</f>
        <v>756</v>
      </c>
      <c r="K6" s="85">
        <v>0.05</v>
      </c>
      <c r="L6" s="22">
        <f t="shared" ref="L6" ca="1" si="10">ROUND(J6+(J6*K6),0)</f>
        <v>794</v>
      </c>
      <c r="M6" s="86"/>
      <c r="N6" s="22">
        <f t="shared" ca="1" si="8"/>
        <v>0</v>
      </c>
      <c r="O6" s="86">
        <f>(0.136*3.4)/4</f>
        <v>0.11560000000000001</v>
      </c>
      <c r="P6" s="22">
        <f t="shared" ref="P6" ca="1" si="11">ROUNDDOWN($J6*O6,4)</f>
        <v>87.393600000000006</v>
      </c>
      <c r="Q6" s="86"/>
      <c r="R6" s="22"/>
      <c r="S6" s="86"/>
      <c r="T6" s="22">
        <f t="shared" ref="T6" ca="1" si="12">ROUNDDOWN($J6*S6,4)</f>
        <v>0</v>
      </c>
      <c r="U6" s="86"/>
      <c r="V6" s="22">
        <f t="shared" ref="V6" ca="1" si="13">ROUNDDOWN($J6*U6,4)</f>
        <v>0</v>
      </c>
      <c r="W6" s="87" t="s">
        <v>1695</v>
      </c>
    </row>
    <row r="7" spans="1:25" ht="21.95" customHeight="1">
      <c r="A7" s="110" t="s">
        <v>391</v>
      </c>
      <c r="B7" s="110" t="s">
        <v>1784</v>
      </c>
      <c r="C7" s="497" t="s">
        <v>407</v>
      </c>
      <c r="D7" s="84">
        <f ca="1">SUM(SUMIF('1.인입(산)'!$C$3:$C$25,B7,'1.인입(산)'!$K$3:$K$25),SUMIF('1.인입(산)'!$E$3:$E$25,B7,'1.인입(산)'!$L$3:$L$25),SUMIF('1.인입(산)'!$G$3:$G$25,B7,'1.인입(산)'!$J$3:$J$25))</f>
        <v>94.5</v>
      </c>
      <c r="E7" s="84"/>
      <c r="F7" s="84"/>
      <c r="G7" s="84"/>
      <c r="H7" s="84"/>
      <c r="I7" s="84"/>
      <c r="J7" s="112">
        <f t="shared" ref="J7" ca="1" si="14">SUM(D7:I7)</f>
        <v>94.5</v>
      </c>
      <c r="K7" s="85">
        <v>0.05</v>
      </c>
      <c r="L7" s="22">
        <f t="shared" ref="L7" ca="1" si="15">ROUND(J7+(J7*K7),0)</f>
        <v>99</v>
      </c>
      <c r="M7" s="86"/>
      <c r="N7" s="22">
        <f t="shared" ref="N7" ca="1" si="16">ROUNDDOWN($J7*M7,4)</f>
        <v>0</v>
      </c>
      <c r="O7" s="86">
        <v>2.5000000000000001E-2</v>
      </c>
      <c r="P7" s="22">
        <f t="shared" ref="P7" ca="1" si="17">ROUNDDOWN($J7*O7,4)</f>
        <v>2.3624999999999998</v>
      </c>
      <c r="Q7" s="86"/>
      <c r="R7" s="22"/>
      <c r="S7" s="86"/>
      <c r="T7" s="22">
        <f t="shared" ref="T7:T8" ca="1" si="18">ROUNDDOWN($J7*S7,4)</f>
        <v>0</v>
      </c>
      <c r="U7" s="86"/>
      <c r="V7" s="22">
        <f t="shared" ref="V7" ca="1" si="19">ROUNDDOWN($J7*U7,4)</f>
        <v>0</v>
      </c>
      <c r="W7" s="87" t="s">
        <v>963</v>
      </c>
    </row>
    <row r="8" spans="1:25" ht="21.95" customHeight="1">
      <c r="A8" s="110" t="s">
        <v>443</v>
      </c>
      <c r="B8" s="551" t="s">
        <v>1793</v>
      </c>
      <c r="C8" s="497" t="s">
        <v>1393</v>
      </c>
      <c r="D8" s="84">
        <v>1</v>
      </c>
      <c r="E8" s="84"/>
      <c r="F8" s="84"/>
      <c r="G8" s="84"/>
      <c r="H8" s="84"/>
      <c r="I8" s="84"/>
      <c r="J8" s="112">
        <f t="shared" ref="J8" si="20">SUM(D8:I8)</f>
        <v>1</v>
      </c>
      <c r="K8" s="85"/>
      <c r="L8" s="22">
        <f t="shared" ref="L8" si="21">ROUND(J8+(J8*K8),0)</f>
        <v>1</v>
      </c>
      <c r="M8" s="86">
        <f>0.24+0.21</f>
        <v>0.44999999999999996</v>
      </c>
      <c r="N8" s="22">
        <f t="shared" si="8"/>
        <v>0.45</v>
      </c>
      <c r="O8" s="86"/>
      <c r="P8" s="22">
        <f t="shared" ref="P8" si="22">ROUNDDOWN($J8*O8,4)</f>
        <v>0</v>
      </c>
      <c r="Q8" s="86"/>
      <c r="R8" s="22"/>
      <c r="S8" s="86">
        <f>0.2+0.15</f>
        <v>0.35</v>
      </c>
      <c r="T8" s="22">
        <f t="shared" si="18"/>
        <v>0.35</v>
      </c>
      <c r="U8" s="86"/>
      <c r="V8" s="22"/>
      <c r="W8" s="87" t="s">
        <v>961</v>
      </c>
    </row>
    <row r="9" spans="1:25" ht="21.95" customHeight="1">
      <c r="A9" s="110" t="s">
        <v>1392</v>
      </c>
      <c r="B9" s="110" t="s">
        <v>1539</v>
      </c>
      <c r="C9" s="492" t="s">
        <v>419</v>
      </c>
      <c r="D9" s="84">
        <v>1</v>
      </c>
      <c r="E9" s="84"/>
      <c r="F9" s="84"/>
      <c r="G9" s="84"/>
      <c r="H9" s="84"/>
      <c r="I9" s="84"/>
      <c r="J9" s="112">
        <f t="shared" ref="J9" si="23">SUM(D9:I9)</f>
        <v>1</v>
      </c>
      <c r="K9" s="85"/>
      <c r="L9" s="22">
        <f t="shared" ref="L9" si="24">ROUND(J9+(J9*K9),0)</f>
        <v>1</v>
      </c>
      <c r="M9" s="86">
        <v>0.22</v>
      </c>
      <c r="N9" s="22">
        <f t="shared" ref="N9:N14" si="25">ROUNDDOWN($J9*M9,4)</f>
        <v>0.22</v>
      </c>
      <c r="O9" s="86"/>
      <c r="P9" s="22">
        <f t="shared" ref="P9" si="26">ROUNDDOWN($J9*O9,4)</f>
        <v>0</v>
      </c>
      <c r="Q9" s="86"/>
      <c r="R9" s="22"/>
      <c r="S9" s="86"/>
      <c r="T9" s="22"/>
      <c r="U9" s="86"/>
      <c r="V9" s="22"/>
      <c r="W9" s="87" t="s">
        <v>1201</v>
      </c>
    </row>
    <row r="10" spans="1:25" ht="21.95" customHeight="1">
      <c r="A10" s="110" t="s">
        <v>1825</v>
      </c>
      <c r="B10" s="123" t="s">
        <v>1006</v>
      </c>
      <c r="C10" s="492" t="s">
        <v>594</v>
      </c>
      <c r="D10" s="84">
        <f ca="1">INT(D4/1.5)</f>
        <v>27</v>
      </c>
      <c r="E10" s="498"/>
      <c r="F10" s="498"/>
      <c r="G10" s="498"/>
      <c r="H10" s="84"/>
      <c r="I10" s="84"/>
      <c r="J10" s="112">
        <f t="shared" ref="J10" ca="1" si="27">SUM(D10:I10)</f>
        <v>27</v>
      </c>
      <c r="K10" s="85"/>
      <c r="L10" s="22">
        <f t="shared" ref="L10" ca="1" si="28">ROUND(J10+(J10*K10),0)</f>
        <v>27</v>
      </c>
      <c r="M10" s="86"/>
      <c r="N10" s="22">
        <f t="shared" ca="1" si="25"/>
        <v>0</v>
      </c>
      <c r="O10" s="86"/>
      <c r="P10" s="22"/>
      <c r="Q10" s="86"/>
      <c r="R10" s="22"/>
      <c r="S10" s="86"/>
      <c r="T10" s="22"/>
      <c r="U10" s="86"/>
      <c r="V10" s="22"/>
      <c r="W10" s="87"/>
    </row>
    <row r="11" spans="1:25" ht="21.95" customHeight="1">
      <c r="A11" s="231" t="s">
        <v>510</v>
      </c>
      <c r="B11" s="231" t="s">
        <v>1815</v>
      </c>
      <c r="C11" s="497" t="s">
        <v>89</v>
      </c>
      <c r="D11" s="498">
        <v>1</v>
      </c>
      <c r="E11" s="498"/>
      <c r="F11" s="498"/>
      <c r="G11" s="498"/>
      <c r="H11" s="84"/>
      <c r="I11" s="84"/>
      <c r="J11" s="112">
        <f t="shared" ref="J11:J21" si="29">SUM(D11:I11)</f>
        <v>1</v>
      </c>
      <c r="K11" s="85"/>
      <c r="L11" s="22">
        <f t="shared" ref="L11:L21" si="30">ROUND(J11+(J11*K11),0)</f>
        <v>1</v>
      </c>
      <c r="M11" s="86">
        <f>0.26*0.7</f>
        <v>0.182</v>
      </c>
      <c r="N11" s="22">
        <f t="shared" si="25"/>
        <v>0.182</v>
      </c>
      <c r="O11" s="86"/>
      <c r="P11" s="22"/>
      <c r="Q11" s="86"/>
      <c r="R11" s="22"/>
      <c r="S11" s="86"/>
      <c r="T11" s="22"/>
      <c r="U11" s="86"/>
      <c r="V11" s="22"/>
      <c r="W11" s="87" t="s">
        <v>1810</v>
      </c>
    </row>
    <row r="12" spans="1:25" ht="21.95" customHeight="1">
      <c r="A12" s="231" t="s">
        <v>1228</v>
      </c>
      <c r="B12" s="231" t="s">
        <v>1816</v>
      </c>
      <c r="C12" s="497" t="s">
        <v>407</v>
      </c>
      <c r="D12" s="498">
        <f>1.5+3+10+21+6+23+6+9+3.5</f>
        <v>83</v>
      </c>
      <c r="E12" s="498"/>
      <c r="F12" s="498"/>
      <c r="G12" s="498"/>
      <c r="H12" s="84"/>
      <c r="I12" s="84"/>
      <c r="J12" s="112">
        <f t="shared" si="29"/>
        <v>83</v>
      </c>
      <c r="K12" s="85">
        <v>0.05</v>
      </c>
      <c r="L12" s="22">
        <f t="shared" si="30"/>
        <v>87</v>
      </c>
      <c r="M12" s="86">
        <v>0.19600000000000001</v>
      </c>
      <c r="N12" s="22">
        <f t="shared" si="25"/>
        <v>16.268000000000001</v>
      </c>
      <c r="O12" s="86"/>
      <c r="P12" s="22"/>
      <c r="Q12" s="86"/>
      <c r="R12" s="22"/>
      <c r="S12" s="86"/>
      <c r="T12" s="22"/>
      <c r="U12" s="86"/>
      <c r="V12" s="22"/>
      <c r="W12" s="87" t="s">
        <v>1846</v>
      </c>
      <c r="Y12" s="550"/>
    </row>
    <row r="13" spans="1:25" ht="21.95" customHeight="1">
      <c r="A13" s="231" t="s">
        <v>403</v>
      </c>
      <c r="B13" s="231" t="s">
        <v>1817</v>
      </c>
      <c r="C13" s="497" t="s">
        <v>419</v>
      </c>
      <c r="D13" s="498">
        <f>ROUNDUP((D12)/3,0)*2</f>
        <v>56</v>
      </c>
      <c r="E13" s="498"/>
      <c r="F13" s="498"/>
      <c r="G13" s="498"/>
      <c r="H13" s="84"/>
      <c r="I13" s="84"/>
      <c r="J13" s="112">
        <f t="shared" si="29"/>
        <v>56</v>
      </c>
      <c r="K13" s="85"/>
      <c r="L13" s="22">
        <f t="shared" si="30"/>
        <v>56</v>
      </c>
      <c r="M13" s="86"/>
      <c r="N13" s="22">
        <f t="shared" si="25"/>
        <v>0</v>
      </c>
      <c r="O13" s="86"/>
      <c r="P13" s="22"/>
      <c r="Q13" s="86"/>
      <c r="R13" s="22"/>
      <c r="S13" s="86"/>
      <c r="T13" s="22"/>
      <c r="U13" s="86"/>
      <c r="V13" s="22"/>
      <c r="W13" s="87"/>
    </row>
    <row r="14" spans="1:25" ht="21.95" customHeight="1">
      <c r="A14" s="231" t="s">
        <v>1818</v>
      </c>
      <c r="B14" s="231" t="s">
        <v>1819</v>
      </c>
      <c r="C14" s="497" t="s">
        <v>419</v>
      </c>
      <c r="D14" s="498">
        <f>D13*8</f>
        <v>448</v>
      </c>
      <c r="E14" s="498"/>
      <c r="F14" s="498"/>
      <c r="G14" s="498"/>
      <c r="H14" s="84"/>
      <c r="I14" s="84"/>
      <c r="J14" s="112">
        <f t="shared" si="29"/>
        <v>448</v>
      </c>
      <c r="K14" s="85"/>
      <c r="L14" s="22">
        <f t="shared" si="30"/>
        <v>448</v>
      </c>
      <c r="M14" s="86"/>
      <c r="N14" s="22">
        <f t="shared" si="25"/>
        <v>0</v>
      </c>
      <c r="O14" s="86"/>
      <c r="P14" s="22"/>
      <c r="Q14" s="86"/>
      <c r="R14" s="22"/>
      <c r="S14" s="86"/>
      <c r="T14" s="22"/>
      <c r="U14" s="86"/>
      <c r="V14" s="22"/>
      <c r="W14" s="87"/>
    </row>
    <row r="15" spans="1:25" ht="21.95" customHeight="1">
      <c r="A15" s="231" t="s">
        <v>111</v>
      </c>
      <c r="B15" s="231" t="s">
        <v>110</v>
      </c>
      <c r="C15" s="497" t="s">
        <v>419</v>
      </c>
      <c r="D15" s="498">
        <f>D13/2</f>
        <v>28</v>
      </c>
      <c r="E15" s="498"/>
      <c r="F15" s="498"/>
      <c r="G15" s="498"/>
      <c r="H15" s="84"/>
      <c r="I15" s="84"/>
      <c r="J15" s="112">
        <f t="shared" ref="J15:J17" si="31">SUM(D15:I15)</f>
        <v>28</v>
      </c>
      <c r="K15" s="85"/>
      <c r="L15" s="22">
        <f t="shared" ref="L15:L17" si="32">ROUND(J15+(J15*K15),0)</f>
        <v>28</v>
      </c>
      <c r="M15" s="86"/>
      <c r="N15" s="22"/>
      <c r="O15" s="86"/>
      <c r="P15" s="22"/>
      <c r="Q15" s="86"/>
      <c r="R15" s="22"/>
      <c r="S15" s="86"/>
      <c r="T15" s="22"/>
      <c r="U15" s="86"/>
      <c r="V15" s="22"/>
      <c r="W15" s="87"/>
    </row>
    <row r="16" spans="1:25" ht="21.95" customHeight="1">
      <c r="A16" s="231" t="s">
        <v>1820</v>
      </c>
      <c r="B16" s="231">
        <v>0</v>
      </c>
      <c r="C16" s="497" t="s">
        <v>419</v>
      </c>
      <c r="D16" s="498">
        <f>SUM(D17)*2</f>
        <v>110</v>
      </c>
      <c r="E16" s="498"/>
      <c r="F16" s="498"/>
      <c r="G16" s="498"/>
      <c r="H16" s="84"/>
      <c r="I16" s="84"/>
      <c r="J16" s="112">
        <f t="shared" si="31"/>
        <v>110</v>
      </c>
      <c r="K16" s="85"/>
      <c r="L16" s="22">
        <f t="shared" si="32"/>
        <v>110</v>
      </c>
      <c r="M16" s="86"/>
      <c r="N16" s="22"/>
      <c r="O16" s="86"/>
      <c r="P16" s="22"/>
      <c r="Q16" s="86"/>
      <c r="R16" s="22"/>
      <c r="S16" s="86"/>
      <c r="T16" s="22"/>
      <c r="U16" s="86"/>
      <c r="V16" s="22"/>
      <c r="W16" s="87"/>
    </row>
    <row r="17" spans="1:24" ht="21.95" customHeight="1">
      <c r="A17" s="231" t="s">
        <v>1826</v>
      </c>
      <c r="B17" s="231" t="s">
        <v>1014</v>
      </c>
      <c r="C17" s="492" t="s">
        <v>594</v>
      </c>
      <c r="D17" s="498">
        <f>INT(D12/1.5)</f>
        <v>55</v>
      </c>
      <c r="E17" s="498"/>
      <c r="F17" s="498"/>
      <c r="G17" s="498"/>
      <c r="H17" s="84"/>
      <c r="I17" s="84"/>
      <c r="J17" s="112">
        <f t="shared" si="31"/>
        <v>55</v>
      </c>
      <c r="K17" s="85"/>
      <c r="L17" s="22">
        <f t="shared" si="32"/>
        <v>55</v>
      </c>
      <c r="M17" s="86"/>
      <c r="N17" s="22"/>
      <c r="O17" s="86"/>
      <c r="P17" s="22"/>
      <c r="Q17" s="86"/>
      <c r="R17" s="22"/>
      <c r="S17" s="86"/>
      <c r="T17" s="22"/>
      <c r="U17" s="86"/>
      <c r="V17" s="22"/>
      <c r="W17" s="87"/>
    </row>
    <row r="18" spans="1:24" ht="21.95" customHeight="1">
      <c r="A18" s="231"/>
      <c r="B18" s="231"/>
      <c r="C18" s="497"/>
      <c r="D18" s="498"/>
      <c r="E18" s="498"/>
      <c r="F18" s="498"/>
      <c r="G18" s="498"/>
      <c r="H18" s="84"/>
      <c r="I18" s="84"/>
      <c r="J18" s="112">
        <f t="shared" si="29"/>
        <v>0</v>
      </c>
      <c r="K18" s="85"/>
      <c r="L18" s="22">
        <f t="shared" si="30"/>
        <v>0</v>
      </c>
      <c r="M18" s="86"/>
      <c r="N18" s="22"/>
      <c r="O18" s="86"/>
      <c r="P18" s="22"/>
      <c r="Q18" s="86"/>
      <c r="R18" s="22"/>
      <c r="S18" s="86"/>
      <c r="T18" s="22"/>
      <c r="U18" s="86"/>
      <c r="V18" s="22"/>
      <c r="W18" s="87"/>
    </row>
    <row r="19" spans="1:24" ht="21.95" customHeight="1">
      <c r="A19" s="231"/>
      <c r="B19" s="231"/>
      <c r="C19" s="497"/>
      <c r="D19" s="498"/>
      <c r="E19" s="498"/>
      <c r="F19" s="498"/>
      <c r="G19" s="498"/>
      <c r="H19" s="84"/>
      <c r="I19" s="84"/>
      <c r="J19" s="112">
        <f t="shared" si="29"/>
        <v>0</v>
      </c>
      <c r="K19" s="85"/>
      <c r="L19" s="22">
        <f t="shared" si="30"/>
        <v>0</v>
      </c>
      <c r="M19" s="86"/>
      <c r="N19" s="22"/>
      <c r="O19" s="86"/>
      <c r="P19" s="22"/>
      <c r="Q19" s="86"/>
      <c r="R19" s="22"/>
      <c r="S19" s="86"/>
      <c r="T19" s="22"/>
      <c r="U19" s="86"/>
      <c r="V19" s="22"/>
      <c r="W19" s="87"/>
    </row>
    <row r="20" spans="1:24" ht="21.95" customHeight="1">
      <c r="A20" s="231"/>
      <c r="B20" s="231"/>
      <c r="C20" s="497"/>
      <c r="D20" s="498"/>
      <c r="E20" s="498"/>
      <c r="F20" s="498"/>
      <c r="G20" s="498"/>
      <c r="H20" s="84"/>
      <c r="I20" s="84"/>
      <c r="J20" s="112">
        <f t="shared" si="29"/>
        <v>0</v>
      </c>
      <c r="K20" s="85"/>
      <c r="L20" s="22">
        <f t="shared" si="30"/>
        <v>0</v>
      </c>
      <c r="M20" s="86"/>
      <c r="N20" s="22"/>
      <c r="O20" s="86"/>
      <c r="P20" s="22"/>
      <c r="Q20" s="86"/>
      <c r="R20" s="22"/>
      <c r="S20" s="86"/>
      <c r="T20" s="22"/>
      <c r="U20" s="86"/>
      <c r="V20" s="22"/>
      <c r="W20" s="87"/>
    </row>
    <row r="21" spans="1:24" ht="21.95" customHeight="1">
      <c r="A21" s="231"/>
      <c r="B21" s="231"/>
      <c r="C21" s="497"/>
      <c r="D21" s="498"/>
      <c r="E21" s="498"/>
      <c r="F21" s="498"/>
      <c r="G21" s="498"/>
      <c r="H21" s="84"/>
      <c r="I21" s="84"/>
      <c r="J21" s="112">
        <f t="shared" si="29"/>
        <v>0</v>
      </c>
      <c r="K21" s="85"/>
      <c r="L21" s="22">
        <f t="shared" si="30"/>
        <v>0</v>
      </c>
      <c r="M21" s="86"/>
      <c r="N21" s="22"/>
      <c r="O21" s="86"/>
      <c r="P21" s="22"/>
      <c r="Q21" s="86"/>
      <c r="R21" s="22"/>
      <c r="S21" s="86"/>
      <c r="T21" s="22"/>
      <c r="U21" s="86"/>
      <c r="V21" s="22"/>
      <c r="W21" s="87"/>
    </row>
    <row r="22" spans="1:24" ht="21.95" customHeight="1">
      <c r="A22" s="231"/>
      <c r="B22" s="231"/>
      <c r="C22" s="497"/>
      <c r="D22" s="498"/>
      <c r="E22" s="498"/>
      <c r="F22" s="498"/>
      <c r="G22" s="498"/>
      <c r="H22" s="84"/>
      <c r="I22" s="84"/>
      <c r="J22" s="112">
        <f t="shared" ref="J22:J28" si="33">SUM(D22:I22)</f>
        <v>0</v>
      </c>
      <c r="K22" s="85"/>
      <c r="L22" s="22">
        <f t="shared" ref="L22:L28" si="34">ROUND(J22+(J22*K22),0)</f>
        <v>0</v>
      </c>
      <c r="M22" s="86"/>
      <c r="N22" s="22"/>
      <c r="O22" s="86"/>
      <c r="P22" s="22"/>
      <c r="Q22" s="86"/>
      <c r="R22" s="22"/>
      <c r="S22" s="86"/>
      <c r="T22" s="22"/>
      <c r="U22" s="86"/>
      <c r="V22" s="22"/>
      <c r="W22" s="87"/>
    </row>
    <row r="23" spans="1:24" ht="21.95" customHeight="1">
      <c r="A23" s="231"/>
      <c r="B23" s="231"/>
      <c r="C23" s="497"/>
      <c r="D23" s="498"/>
      <c r="E23" s="498"/>
      <c r="F23" s="498"/>
      <c r="G23" s="498"/>
      <c r="H23" s="84"/>
      <c r="I23" s="84"/>
      <c r="J23" s="112">
        <f t="shared" si="33"/>
        <v>0</v>
      </c>
      <c r="K23" s="85"/>
      <c r="L23" s="22">
        <f t="shared" si="34"/>
        <v>0</v>
      </c>
      <c r="M23" s="86"/>
      <c r="N23" s="22"/>
      <c r="O23" s="86"/>
      <c r="P23" s="22"/>
      <c r="Q23" s="86"/>
      <c r="R23" s="22">
        <f t="shared" ref="R23:R28" si="35">ROUNDDOWN($J23*Q23,4)</f>
        <v>0</v>
      </c>
      <c r="S23" s="86"/>
      <c r="T23" s="22">
        <f t="shared" ref="T23:T28" si="36">ROUNDDOWN($J23*S23,4)</f>
        <v>0</v>
      </c>
      <c r="U23" s="86"/>
      <c r="V23" s="22"/>
      <c r="W23" s="87"/>
    </row>
    <row r="24" spans="1:24" ht="21.95" customHeight="1">
      <c r="A24" s="231"/>
      <c r="B24" s="231"/>
      <c r="C24" s="497"/>
      <c r="D24" s="498"/>
      <c r="E24" s="498"/>
      <c r="F24" s="498"/>
      <c r="G24" s="498"/>
      <c r="H24" s="84"/>
      <c r="I24" s="84"/>
      <c r="J24" s="112">
        <f t="shared" si="33"/>
        <v>0</v>
      </c>
      <c r="K24" s="85"/>
      <c r="L24" s="22">
        <f t="shared" si="34"/>
        <v>0</v>
      </c>
      <c r="M24" s="86"/>
      <c r="N24" s="22"/>
      <c r="O24" s="86"/>
      <c r="P24" s="22"/>
      <c r="Q24" s="86"/>
      <c r="R24" s="22">
        <f t="shared" si="35"/>
        <v>0</v>
      </c>
      <c r="S24" s="86"/>
      <c r="T24" s="22">
        <f t="shared" si="36"/>
        <v>0</v>
      </c>
      <c r="U24" s="86"/>
      <c r="V24" s="22"/>
      <c r="W24" s="87"/>
    </row>
    <row r="25" spans="1:24" ht="21.95" customHeight="1">
      <c r="A25" s="231"/>
      <c r="B25" s="231"/>
      <c r="C25" s="497"/>
      <c r="D25" s="498"/>
      <c r="E25" s="498"/>
      <c r="F25" s="498"/>
      <c r="G25" s="498"/>
      <c r="H25" s="84"/>
      <c r="I25" s="84"/>
      <c r="J25" s="112">
        <f t="shared" si="33"/>
        <v>0</v>
      </c>
      <c r="K25" s="85"/>
      <c r="L25" s="22">
        <f t="shared" si="34"/>
        <v>0</v>
      </c>
      <c r="M25" s="86"/>
      <c r="N25" s="22"/>
      <c r="O25" s="86"/>
      <c r="P25" s="22"/>
      <c r="Q25" s="86"/>
      <c r="R25" s="22">
        <f t="shared" si="35"/>
        <v>0</v>
      </c>
      <c r="S25" s="86"/>
      <c r="T25" s="22">
        <f t="shared" si="36"/>
        <v>0</v>
      </c>
      <c r="U25" s="86"/>
      <c r="V25" s="22"/>
      <c r="W25" s="87"/>
    </row>
    <row r="26" spans="1:24" ht="21.95" customHeight="1">
      <c r="A26" s="231"/>
      <c r="B26" s="231"/>
      <c r="C26" s="497"/>
      <c r="D26" s="498"/>
      <c r="E26" s="498"/>
      <c r="F26" s="498"/>
      <c r="G26" s="498"/>
      <c r="H26" s="84"/>
      <c r="I26" s="84"/>
      <c r="J26" s="112">
        <f t="shared" si="33"/>
        <v>0</v>
      </c>
      <c r="K26" s="85"/>
      <c r="L26" s="22">
        <f t="shared" si="34"/>
        <v>0</v>
      </c>
      <c r="M26" s="86"/>
      <c r="N26" s="22"/>
      <c r="O26" s="86"/>
      <c r="P26" s="22"/>
      <c r="Q26" s="86"/>
      <c r="R26" s="22">
        <f t="shared" si="35"/>
        <v>0</v>
      </c>
      <c r="S26" s="86"/>
      <c r="T26" s="22">
        <f t="shared" si="36"/>
        <v>0</v>
      </c>
      <c r="U26" s="86"/>
      <c r="V26" s="22"/>
      <c r="W26" s="87"/>
    </row>
    <row r="27" spans="1:24" ht="21.95" customHeight="1">
      <c r="A27" s="231"/>
      <c r="B27" s="231"/>
      <c r="C27" s="497"/>
      <c r="D27" s="498"/>
      <c r="E27" s="498"/>
      <c r="F27" s="498"/>
      <c r="G27" s="498"/>
      <c r="H27" s="84"/>
      <c r="I27" s="84"/>
      <c r="J27" s="112">
        <f t="shared" si="33"/>
        <v>0</v>
      </c>
      <c r="K27" s="85"/>
      <c r="L27" s="22">
        <f t="shared" si="34"/>
        <v>0</v>
      </c>
      <c r="M27" s="86"/>
      <c r="N27" s="22"/>
      <c r="O27" s="86"/>
      <c r="P27" s="22"/>
      <c r="Q27" s="86"/>
      <c r="R27" s="22">
        <f t="shared" si="35"/>
        <v>0</v>
      </c>
      <c r="S27" s="86"/>
      <c r="T27" s="22">
        <f t="shared" si="36"/>
        <v>0</v>
      </c>
      <c r="U27" s="86"/>
      <c r="V27" s="22"/>
      <c r="W27" s="87"/>
    </row>
    <row r="28" spans="1:24" ht="21.95" customHeight="1">
      <c r="A28" s="231"/>
      <c r="B28" s="231"/>
      <c r="C28" s="497"/>
      <c r="D28" s="498"/>
      <c r="E28" s="498"/>
      <c r="F28" s="498"/>
      <c r="G28" s="498"/>
      <c r="H28" s="84"/>
      <c r="I28" s="84"/>
      <c r="J28" s="112">
        <f t="shared" si="33"/>
        <v>0</v>
      </c>
      <c r="K28" s="85"/>
      <c r="L28" s="22">
        <f t="shared" si="34"/>
        <v>0</v>
      </c>
      <c r="M28" s="86"/>
      <c r="N28" s="22"/>
      <c r="O28" s="86"/>
      <c r="P28" s="22"/>
      <c r="Q28" s="86"/>
      <c r="R28" s="22">
        <f t="shared" si="35"/>
        <v>0</v>
      </c>
      <c r="S28" s="86"/>
      <c r="T28" s="22">
        <f t="shared" si="36"/>
        <v>0</v>
      </c>
      <c r="U28" s="86"/>
      <c r="V28" s="22"/>
      <c r="W28" s="87"/>
    </row>
    <row r="29" spans="1:24" ht="21.95" customHeight="1">
      <c r="A29" s="112" t="s">
        <v>312</v>
      </c>
      <c r="B29" s="112"/>
      <c r="C29" s="112"/>
      <c r="D29" s="112"/>
      <c r="E29" s="112"/>
      <c r="F29" s="112"/>
      <c r="G29" s="112"/>
      <c r="H29" s="112"/>
      <c r="I29" s="112"/>
      <c r="J29" s="90"/>
      <c r="K29" s="91"/>
      <c r="L29" s="22"/>
      <c r="M29" s="84"/>
      <c r="N29" s="84">
        <f ca="1">ROUNDDOWN(SUM(N3:N28)*$X29,1)</f>
        <v>20.2</v>
      </c>
      <c r="O29" s="89"/>
      <c r="P29" s="84">
        <f ca="1">ROUNDDOWN(SUM(P3:P28)*$X29,1)</f>
        <v>73.599999999999994</v>
      </c>
      <c r="Q29" s="84"/>
      <c r="R29" s="84">
        <f ca="1">ROUNDDOWN(SUM(R3:R28)*$X29,1)</f>
        <v>0</v>
      </c>
      <c r="S29" s="89"/>
      <c r="T29" s="84">
        <f ca="1">ROUNDDOWN(SUM(T3:T28)*$X29,1)</f>
        <v>0.2</v>
      </c>
      <c r="U29" s="89"/>
      <c r="V29" s="84">
        <f ca="1">ROUNDDOWN(SUM(V3:V28)*$X29,1)</f>
        <v>0</v>
      </c>
      <c r="W29" s="87"/>
      <c r="X29" s="119">
        <v>0.82</v>
      </c>
    </row>
  </sheetData>
  <mergeCells count="14">
    <mergeCell ref="J2:J3"/>
    <mergeCell ref="A1:B1"/>
    <mergeCell ref="A2:A3"/>
    <mergeCell ref="B2:B3"/>
    <mergeCell ref="C2:C3"/>
    <mergeCell ref="D2:I2"/>
    <mergeCell ref="W2:W3"/>
    <mergeCell ref="U2:V2"/>
    <mergeCell ref="K2:K3"/>
    <mergeCell ref="L2:L3"/>
    <mergeCell ref="M2:N2"/>
    <mergeCell ref="O2:P2"/>
    <mergeCell ref="Q2:R2"/>
    <mergeCell ref="S2:T2"/>
  </mergeCells>
  <phoneticPr fontId="4" type="noConversion"/>
  <pageMargins left="0.86614173228346458" right="0.47244094488188981" top="0.78740157480314965" bottom="0.47244094488188981" header="0.47244094488188981" footer="0"/>
  <pageSetup paperSize="9" scale="73" orientation="landscape" r:id="rId1"/>
  <headerFooter alignWithMargins="0">
    <oddHeader>&amp;C&amp;"굴림체,굵게"&amp;14자 료 산 출 근 거 서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81"/>
  <dimension ref="A1:X25"/>
  <sheetViews>
    <sheetView showZeros="0" view="pageBreakPreview" zoomScaleSheetLayoutView="100" workbookViewId="0">
      <pane xSplit="2" ySplit="2" topLeftCell="C3" activePane="bottomRight" state="frozen"/>
      <selection activeCell="H20" sqref="H20"/>
      <selection pane="topRight" activeCell="H20" sqref="H20"/>
      <selection pane="bottomLeft" activeCell="H20" sqref="H20"/>
      <selection pane="bottomRight" activeCell="I15" sqref="I15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1469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379"/>
      <c r="B3" s="118"/>
      <c r="C3" s="123"/>
      <c r="D3" s="230"/>
      <c r="E3" s="123"/>
      <c r="F3" s="230"/>
      <c r="G3" s="123"/>
      <c r="H3" s="230"/>
      <c r="I3" s="176"/>
      <c r="J3" s="225">
        <f t="shared" ref="J3:J24" ca="1" si="0">djs(I3,1)*H3</f>
        <v>0</v>
      </c>
      <c r="K3" s="228">
        <f t="shared" ref="K3:K24" ca="1" si="1">((djs(I3,0)+djs(I3,1))*D3)*H3</f>
        <v>0</v>
      </c>
      <c r="L3" s="229">
        <f t="shared" ref="L3:L24" ca="1" si="2">((djs(I3,0)+djs(I3,1))*F3)*H3</f>
        <v>0</v>
      </c>
      <c r="M3" s="232"/>
    </row>
    <row r="4" spans="1:24" s="167" customFormat="1" ht="22.5" customHeight="1">
      <c r="A4" s="99" t="s">
        <v>1789</v>
      </c>
      <c r="B4" s="118" t="s">
        <v>1790</v>
      </c>
      <c r="C4" s="123" t="s">
        <v>1785</v>
      </c>
      <c r="D4" s="230">
        <v>8</v>
      </c>
      <c r="E4" s="123"/>
      <c r="F4" s="230">
        <v>1</v>
      </c>
      <c r="G4" s="123"/>
      <c r="H4" s="230">
        <v>1</v>
      </c>
      <c r="I4" s="176" t="s">
        <v>1838</v>
      </c>
      <c r="J4" s="225">
        <f t="shared" ca="1" si="0"/>
        <v>0</v>
      </c>
      <c r="K4" s="228">
        <f t="shared" ca="1" si="1"/>
        <v>756</v>
      </c>
      <c r="L4" s="229">
        <f t="shared" ca="1" si="2"/>
        <v>94.5</v>
      </c>
      <c r="M4" s="232"/>
    </row>
    <row r="5" spans="1:24" s="167" customFormat="1" ht="22.5" customHeight="1">
      <c r="A5" s="118" t="s">
        <v>1790</v>
      </c>
      <c r="B5" s="118" t="s">
        <v>1796</v>
      </c>
      <c r="C5" s="123" t="s">
        <v>1784</v>
      </c>
      <c r="D5" s="230">
        <v>1</v>
      </c>
      <c r="E5" s="123"/>
      <c r="F5" s="230">
        <v>1</v>
      </c>
      <c r="G5" s="123" t="s">
        <v>1076</v>
      </c>
      <c r="H5" s="230">
        <v>1</v>
      </c>
      <c r="I5" s="176" t="s">
        <v>1838</v>
      </c>
      <c r="J5" s="225">
        <f t="shared" ca="1" si="0"/>
        <v>0</v>
      </c>
      <c r="K5" s="228">
        <f t="shared" ca="1" si="1"/>
        <v>94.5</v>
      </c>
      <c r="L5" s="229">
        <f t="shared" ca="1" si="2"/>
        <v>94.5</v>
      </c>
      <c r="M5" s="232"/>
    </row>
    <row r="6" spans="1:24" s="167" customFormat="1" ht="22.5" customHeight="1">
      <c r="A6" s="118" t="s">
        <v>1790</v>
      </c>
      <c r="B6" s="99" t="s">
        <v>1792</v>
      </c>
      <c r="C6" s="123"/>
      <c r="D6" s="230"/>
      <c r="E6" s="123" t="s">
        <v>1761</v>
      </c>
      <c r="F6" s="230">
        <v>1</v>
      </c>
      <c r="G6" s="123" t="s">
        <v>1070</v>
      </c>
      <c r="H6" s="230">
        <v>1</v>
      </c>
      <c r="I6" s="176" t="s">
        <v>1814</v>
      </c>
      <c r="J6" s="225">
        <f t="shared" ca="1" si="0"/>
        <v>28</v>
      </c>
      <c r="K6" s="228">
        <f t="shared" ca="1" si="1"/>
        <v>0</v>
      </c>
      <c r="L6" s="229">
        <f t="shared" ca="1" si="2"/>
        <v>50</v>
      </c>
      <c r="M6" s="232"/>
    </row>
    <row r="7" spans="1:24" s="167" customFormat="1" ht="22.5" customHeight="1">
      <c r="A7" s="118" t="s">
        <v>1790</v>
      </c>
      <c r="B7" s="99" t="s">
        <v>1770</v>
      </c>
      <c r="C7" s="123"/>
      <c r="D7" s="230"/>
      <c r="E7" s="123" t="s">
        <v>1761</v>
      </c>
      <c r="F7" s="230">
        <v>1</v>
      </c>
      <c r="G7" s="123" t="s">
        <v>1070</v>
      </c>
      <c r="H7" s="230">
        <v>1</v>
      </c>
      <c r="I7" s="176" t="s">
        <v>1839</v>
      </c>
      <c r="J7" s="225">
        <f t="shared" ca="1" si="0"/>
        <v>13.5</v>
      </c>
      <c r="K7" s="228">
        <f t="shared" ca="1" si="1"/>
        <v>0</v>
      </c>
      <c r="L7" s="229">
        <f t="shared" ca="1" si="2"/>
        <v>101.5</v>
      </c>
      <c r="M7" s="232"/>
    </row>
    <row r="8" spans="1:24" s="167" customFormat="1" ht="22.5" customHeight="1">
      <c r="A8" s="482"/>
      <c r="B8" s="99"/>
      <c r="C8" s="123"/>
      <c r="D8" s="230"/>
      <c r="E8" s="123"/>
      <c r="F8" s="230"/>
      <c r="G8" s="123"/>
      <c r="H8" s="230"/>
      <c r="I8" s="176"/>
      <c r="J8" s="225">
        <f t="shared" ca="1" si="0"/>
        <v>0</v>
      </c>
      <c r="K8" s="228">
        <f t="shared" ca="1" si="1"/>
        <v>0</v>
      </c>
      <c r="L8" s="229">
        <f t="shared" ca="1" si="2"/>
        <v>0</v>
      </c>
      <c r="M8" s="232"/>
    </row>
    <row r="9" spans="1:24" s="167" customFormat="1" ht="22.5" customHeight="1">
      <c r="A9" s="482"/>
      <c r="B9" s="99"/>
      <c r="C9" s="123"/>
      <c r="D9" s="230"/>
      <c r="E9" s="123"/>
      <c r="F9" s="230"/>
      <c r="G9" s="123"/>
      <c r="H9" s="230"/>
      <c r="I9" s="176"/>
      <c r="J9" s="225">
        <f t="shared" ca="1" si="0"/>
        <v>0</v>
      </c>
      <c r="K9" s="228">
        <f t="shared" ca="1" si="1"/>
        <v>0</v>
      </c>
      <c r="L9" s="229">
        <f t="shared" ca="1" si="2"/>
        <v>0</v>
      </c>
      <c r="M9" s="232"/>
    </row>
    <row r="10" spans="1:24" s="167" customFormat="1" ht="22.5" customHeight="1">
      <c r="A10" s="99"/>
      <c r="B10" s="118"/>
      <c r="C10" s="123"/>
      <c r="D10" s="230"/>
      <c r="E10" s="123"/>
      <c r="F10" s="230"/>
      <c r="G10" s="123"/>
      <c r="H10" s="230"/>
      <c r="I10" s="176"/>
      <c r="J10" s="225">
        <f t="shared" ca="1" si="0"/>
        <v>0</v>
      </c>
      <c r="K10" s="228">
        <f t="shared" ca="1" si="1"/>
        <v>0</v>
      </c>
      <c r="L10" s="229">
        <f t="shared" ca="1" si="2"/>
        <v>0</v>
      </c>
      <c r="M10" s="232"/>
    </row>
    <row r="11" spans="1:24" s="167" customFormat="1" ht="22.5" customHeight="1">
      <c r="A11" s="99"/>
      <c r="B11" s="118"/>
      <c r="C11" s="123"/>
      <c r="D11" s="230"/>
      <c r="E11" s="123"/>
      <c r="F11" s="230"/>
      <c r="G11" s="123"/>
      <c r="H11" s="230"/>
      <c r="I11" s="176"/>
      <c r="J11" s="225">
        <f t="shared" ref="J11:J12" ca="1" si="3">djs(I11,1)*H11</f>
        <v>0</v>
      </c>
      <c r="K11" s="228">
        <f t="shared" ref="K11:K12" ca="1" si="4">((djs(I11,0)+djs(I11,1))*D11)*H11</f>
        <v>0</v>
      </c>
      <c r="L11" s="229">
        <f t="shared" ref="L11:L12" ca="1" si="5">((djs(I11,0)+djs(I11,1))*F11)*H11</f>
        <v>0</v>
      </c>
      <c r="M11" s="232"/>
    </row>
    <row r="12" spans="1:24" s="167" customFormat="1" ht="22.5" customHeight="1">
      <c r="A12" s="99"/>
      <c r="B12" s="118"/>
      <c r="C12" s="123"/>
      <c r="D12" s="230"/>
      <c r="E12" s="123"/>
      <c r="F12" s="230"/>
      <c r="G12" s="123"/>
      <c r="H12" s="230"/>
      <c r="I12" s="176"/>
      <c r="J12" s="225">
        <f t="shared" ca="1" si="3"/>
        <v>0</v>
      </c>
      <c r="K12" s="228">
        <f t="shared" ca="1" si="4"/>
        <v>0</v>
      </c>
      <c r="L12" s="229">
        <f t="shared" ca="1" si="5"/>
        <v>0</v>
      </c>
      <c r="M12" s="232"/>
    </row>
    <row r="13" spans="1:24" s="167" customFormat="1" ht="22.5" customHeight="1">
      <c r="A13" s="99"/>
      <c r="B13" s="118"/>
      <c r="C13" s="123"/>
      <c r="D13" s="230"/>
      <c r="E13" s="123"/>
      <c r="F13" s="230"/>
      <c r="G13" s="123"/>
      <c r="H13" s="230"/>
      <c r="I13" s="176"/>
      <c r="J13" s="225">
        <f t="shared" ref="J13:J14" ca="1" si="6">djs(I13,1)*H13</f>
        <v>0</v>
      </c>
      <c r="K13" s="228">
        <f t="shared" ref="K13:K14" ca="1" si="7">((djs(I13,0)+djs(I13,1))*D13)*H13</f>
        <v>0</v>
      </c>
      <c r="L13" s="229">
        <f t="shared" ref="L13:L14" ca="1" si="8">((djs(I13,0)+djs(I13,1))*F13)*H13</f>
        <v>0</v>
      </c>
      <c r="M13" s="232"/>
    </row>
    <row r="14" spans="1:24" s="167" customFormat="1" ht="22.5" customHeight="1">
      <c r="A14" s="99"/>
      <c r="B14" s="118"/>
      <c r="C14" s="123"/>
      <c r="D14" s="230"/>
      <c r="E14" s="123"/>
      <c r="F14" s="230"/>
      <c r="G14" s="123"/>
      <c r="H14" s="230"/>
      <c r="I14" s="176"/>
      <c r="J14" s="225">
        <f t="shared" ca="1" si="6"/>
        <v>0</v>
      </c>
      <c r="K14" s="228">
        <f t="shared" ca="1" si="7"/>
        <v>0</v>
      </c>
      <c r="L14" s="229">
        <f t="shared" ca="1" si="8"/>
        <v>0</v>
      </c>
      <c r="M14" s="232"/>
    </row>
    <row r="15" spans="1:24" s="167" customFormat="1" ht="22.5" customHeight="1">
      <c r="A15" s="99"/>
      <c r="B15" s="118"/>
      <c r="C15" s="123"/>
      <c r="D15" s="230"/>
      <c r="E15" s="123"/>
      <c r="F15" s="230"/>
      <c r="G15" s="123"/>
      <c r="H15" s="230"/>
      <c r="I15" s="176"/>
      <c r="J15" s="225">
        <f t="shared" ref="J15" ca="1" si="9">djs(I15,1)*H15</f>
        <v>0</v>
      </c>
      <c r="K15" s="228">
        <f t="shared" ref="K15" ca="1" si="10">((djs(I15,0)+djs(I15,1))*D15)*H15</f>
        <v>0</v>
      </c>
      <c r="L15" s="229">
        <f t="shared" ref="L15" ca="1" si="11">((djs(I15,0)+djs(I15,1))*F15)*H15</f>
        <v>0</v>
      </c>
      <c r="M15" s="232"/>
    </row>
    <row r="16" spans="1:24" s="167" customFormat="1" ht="22.5" customHeight="1">
      <c r="A16" s="99"/>
      <c r="B16" s="118"/>
      <c r="C16" s="123"/>
      <c r="D16" s="230"/>
      <c r="E16" s="123"/>
      <c r="F16" s="230"/>
      <c r="G16" s="123"/>
      <c r="H16" s="230"/>
      <c r="I16" s="176"/>
      <c r="J16" s="225">
        <f t="shared" ref="J16:J19" ca="1" si="12">djs(I16,1)*H16</f>
        <v>0</v>
      </c>
      <c r="K16" s="228">
        <f t="shared" ref="K16:K19" ca="1" si="13">((djs(I16,0)+djs(I16,1))*D16)*H16</f>
        <v>0</v>
      </c>
      <c r="L16" s="229">
        <f t="shared" ref="L16:L19" ca="1" si="14">((djs(I16,0)+djs(I16,1))*F16)*H16</f>
        <v>0</v>
      </c>
      <c r="M16" s="232"/>
    </row>
    <row r="17" spans="1:13" s="167" customFormat="1" ht="22.5" customHeight="1">
      <c r="A17" s="482"/>
      <c r="B17" s="99"/>
      <c r="C17" s="123"/>
      <c r="D17" s="230"/>
      <c r="E17" s="123"/>
      <c r="F17" s="230"/>
      <c r="G17" s="123"/>
      <c r="H17" s="230"/>
      <c r="I17" s="176"/>
      <c r="J17" s="225">
        <f t="shared" ca="1" si="12"/>
        <v>0</v>
      </c>
      <c r="K17" s="228">
        <f t="shared" ca="1" si="13"/>
        <v>0</v>
      </c>
      <c r="L17" s="229">
        <f t="shared" ca="1" si="14"/>
        <v>0</v>
      </c>
      <c r="M17" s="232"/>
    </row>
    <row r="18" spans="1:13" s="167" customFormat="1" ht="22.5" customHeight="1">
      <c r="A18" s="99"/>
      <c r="B18" s="118"/>
      <c r="C18" s="231"/>
      <c r="D18" s="230"/>
      <c r="E18" s="123"/>
      <c r="F18" s="230"/>
      <c r="G18" s="123"/>
      <c r="H18" s="230"/>
      <c r="I18" s="176"/>
      <c r="J18" s="225">
        <f t="shared" ca="1" si="12"/>
        <v>0</v>
      </c>
      <c r="K18" s="228">
        <f t="shared" ca="1" si="13"/>
        <v>0</v>
      </c>
      <c r="L18" s="229">
        <f t="shared" ca="1" si="14"/>
        <v>0</v>
      </c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>
        <f t="shared" ca="1" si="12"/>
        <v>0</v>
      </c>
      <c r="K19" s="228">
        <f t="shared" ca="1" si="13"/>
        <v>0</v>
      </c>
      <c r="L19" s="229">
        <f t="shared" ca="1" si="14"/>
        <v>0</v>
      </c>
      <c r="M19" s="232"/>
    </row>
    <row r="20" spans="1:13" s="167" customFormat="1" ht="22.5" customHeight="1">
      <c r="A20" s="118"/>
      <c r="B20" s="118"/>
      <c r="C20" s="123"/>
      <c r="D20" s="230"/>
      <c r="E20" s="123"/>
      <c r="F20" s="230"/>
      <c r="G20" s="123"/>
      <c r="H20" s="230"/>
      <c r="I20" s="176"/>
      <c r="J20" s="225">
        <f t="shared" ca="1" si="0"/>
        <v>0</v>
      </c>
      <c r="K20" s="228">
        <f t="shared" ca="1" si="1"/>
        <v>0</v>
      </c>
      <c r="L20" s="229">
        <f t="shared" ca="1" si="2"/>
        <v>0</v>
      </c>
      <c r="M20" s="232"/>
    </row>
    <row r="21" spans="1:13" s="167" customFormat="1" ht="22.5" customHeight="1">
      <c r="A21" s="482"/>
      <c r="B21" s="99"/>
      <c r="C21" s="123"/>
      <c r="D21" s="230"/>
      <c r="E21" s="123"/>
      <c r="F21" s="230"/>
      <c r="G21" s="123"/>
      <c r="H21" s="230"/>
      <c r="I21" s="176"/>
      <c r="J21" s="225">
        <f t="shared" ca="1" si="0"/>
        <v>0</v>
      </c>
      <c r="K21" s="228">
        <f t="shared" ca="1" si="1"/>
        <v>0</v>
      </c>
      <c r="L21" s="229">
        <f t="shared" ca="1" si="2"/>
        <v>0</v>
      </c>
      <c r="M21" s="232"/>
    </row>
    <row r="22" spans="1:13" s="167" customFormat="1" ht="22.5" customHeight="1">
      <c r="A22" s="482"/>
      <c r="B22" s="99"/>
      <c r="C22" s="123"/>
      <c r="D22" s="230"/>
      <c r="E22" s="123"/>
      <c r="F22" s="230"/>
      <c r="G22" s="123"/>
      <c r="H22" s="230"/>
      <c r="I22" s="176"/>
      <c r="J22" s="225">
        <f t="shared" ca="1" si="0"/>
        <v>0</v>
      </c>
      <c r="K22" s="228">
        <f t="shared" ca="1" si="1"/>
        <v>0</v>
      </c>
      <c r="L22" s="229">
        <f t="shared" ca="1" si="2"/>
        <v>0</v>
      </c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>
        <f t="shared" ca="1" si="0"/>
        <v>0</v>
      </c>
      <c r="K23" s="228">
        <f t="shared" ca="1" si="1"/>
        <v>0</v>
      </c>
      <c r="L23" s="229">
        <f t="shared" ca="1" si="2"/>
        <v>0</v>
      </c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>
        <f t="shared" ca="1" si="0"/>
        <v>0</v>
      </c>
      <c r="K24" s="228">
        <f t="shared" ca="1" si="1"/>
        <v>0</v>
      </c>
      <c r="L24" s="229">
        <f t="shared" ca="1" si="2"/>
        <v>0</v>
      </c>
      <c r="M24" s="232"/>
    </row>
    <row r="25" spans="1:13" s="167" customFormat="1" ht="22.5" customHeight="1">
      <c r="A25" s="489"/>
      <c r="B25" s="395"/>
      <c r="C25" s="396"/>
      <c r="D25" s="397"/>
      <c r="E25" s="396"/>
      <c r="F25" s="397"/>
      <c r="G25" s="396"/>
      <c r="H25" s="397"/>
      <c r="I25" s="398"/>
      <c r="J25" s="399"/>
      <c r="K25" s="400"/>
      <c r="L25" s="401"/>
      <c r="M25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&amp;C&amp;"굴림체,굵게"&amp;14자 료 산 출 근 거 서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140">
    <tabColor rgb="FFFF0000"/>
  </sheetPr>
  <dimension ref="A1:X27"/>
  <sheetViews>
    <sheetView showZeros="0" view="pageBreakPreview" zoomScaleSheetLayoutView="100" workbookViewId="0">
      <pane xSplit="3" ySplit="3" topLeftCell="D7" activePane="bottomRight" state="frozen"/>
      <selection activeCell="P15" sqref="P15"/>
      <selection pane="topRight" activeCell="P15" sqref="P15"/>
      <selection pane="bottomLeft" activeCell="P15" sqref="P15"/>
      <selection pane="bottomRight" activeCell="P15" sqref="P15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5.33203125" style="95" customWidth="1"/>
    <col min="22" max="22" width="5.33203125" style="121" customWidth="1"/>
    <col min="23" max="23" width="6.77734375" style="162" customWidth="1"/>
    <col min="24" max="24" width="4.77734375" style="162" customWidth="1"/>
    <col min="25" max="16384" width="8.88671875" style="162"/>
  </cols>
  <sheetData>
    <row r="1" spans="1:23" ht="21.95" customHeight="1">
      <c r="A1" s="676" t="str">
        <f>'2.외등(산)'!A1</f>
        <v>2. 외등설비공사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79"/>
      <c r="V1" s="79"/>
      <c r="W1" s="117"/>
    </row>
    <row r="2" spans="1:23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16" t="s">
        <v>1549</v>
      </c>
      <c r="R2" s="616"/>
      <c r="S2" s="616" t="s">
        <v>90</v>
      </c>
      <c r="T2" s="616"/>
      <c r="U2" s="616" t="s">
        <v>146</v>
      </c>
      <c r="V2" s="616"/>
      <c r="W2" s="616" t="s">
        <v>309</v>
      </c>
    </row>
    <row r="3" spans="1:23" ht="21.95" customHeight="1">
      <c r="A3" s="616"/>
      <c r="B3" s="616"/>
      <c r="C3" s="616"/>
      <c r="D3" s="101"/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81" t="s">
        <v>310</v>
      </c>
      <c r="V3" s="82" t="s">
        <v>311</v>
      </c>
      <c r="W3" s="616"/>
    </row>
    <row r="4" spans="1:23" ht="21.95" customHeight="1">
      <c r="A4" s="110" t="s">
        <v>382</v>
      </c>
      <c r="B4" s="123" t="s">
        <v>415</v>
      </c>
      <c r="C4" s="497" t="s">
        <v>407</v>
      </c>
      <c r="D4" s="84">
        <f ca="1">SUM(SUMIF('2.외등(산)'!$C$3:$C$25,B4,'2.외등(산)'!$K$3:$K$25),SUMIF('2.외등(산)'!$E$3:$E$25,B4,'2.외등(산)'!$L$3:$L$25),SUMIF('2.외등(산)'!$G$3:$G$25,B4,'2.외등(산)'!$J$3:$J$25))</f>
        <v>119</v>
      </c>
      <c r="E4" s="84"/>
      <c r="F4" s="84"/>
      <c r="G4" s="84"/>
      <c r="H4" s="84"/>
      <c r="I4" s="84"/>
      <c r="J4" s="112">
        <f t="shared" ref="J4" ca="1" si="0">SUM(D4:I4)</f>
        <v>119</v>
      </c>
      <c r="K4" s="85">
        <v>0.05</v>
      </c>
      <c r="L4" s="22">
        <f t="shared" ref="L4:L22" ca="1" si="1">ROUND(J4+(J4*K4),0)</f>
        <v>125</v>
      </c>
      <c r="M4" s="86"/>
      <c r="N4" s="22">
        <f t="shared" ref="N4:N6" ca="1" si="2">ROUNDDOWN($J4*M4,4)</f>
        <v>0</v>
      </c>
      <c r="O4" s="86"/>
      <c r="P4" s="22"/>
      <c r="Q4" s="86"/>
      <c r="R4" s="22"/>
      <c r="S4" s="86">
        <f>0.014*1.5</f>
        <v>2.1000000000000001E-2</v>
      </c>
      <c r="T4" s="22">
        <f t="shared" ref="T4:V4" ca="1" si="3">ROUNDDOWN($J4*S4,4)</f>
        <v>2.4990000000000001</v>
      </c>
      <c r="U4" s="86">
        <f>0.006*1.5</f>
        <v>9.0000000000000011E-3</v>
      </c>
      <c r="V4" s="22">
        <f t="shared" ca="1" si="3"/>
        <v>1.071</v>
      </c>
      <c r="W4" s="87" t="s">
        <v>1551</v>
      </c>
    </row>
    <row r="5" spans="1:23" ht="21.95" customHeight="1">
      <c r="A5" s="110" t="s">
        <v>382</v>
      </c>
      <c r="B5" s="123" t="s">
        <v>1581</v>
      </c>
      <c r="C5" s="497" t="s">
        <v>407</v>
      </c>
      <c r="D5" s="84">
        <f ca="1">SUM(SUMIF('2.외등(산)'!$C$3:$C$25,B5,'2.외등(산)'!$K$3:$K$25),SUMIF('2.외등(산)'!$E$3:$E$25,B5,'2.외등(산)'!$L$3:$L$25),SUMIF('2.외등(산)'!$G$3:$G$25,B5,'2.외등(산)'!$J$3:$J$25))</f>
        <v>275.5</v>
      </c>
      <c r="E5" s="84"/>
      <c r="F5" s="84"/>
      <c r="G5" s="84"/>
      <c r="H5" s="84"/>
      <c r="I5" s="84"/>
      <c r="J5" s="112">
        <f t="shared" ref="J5" ca="1" si="4">SUM(D5:I5)</f>
        <v>275.5</v>
      </c>
      <c r="K5" s="85">
        <v>0.05</v>
      </c>
      <c r="L5" s="22">
        <f t="shared" ref="L5" ca="1" si="5">ROUND(J5+(J5*K5),0)</f>
        <v>289</v>
      </c>
      <c r="M5" s="86"/>
      <c r="N5" s="22">
        <f t="shared" ref="N5" ca="1" si="6">ROUNDDOWN($J5*M5,4)</f>
        <v>0</v>
      </c>
      <c r="O5" s="86"/>
      <c r="P5" s="22"/>
      <c r="Q5" s="86"/>
      <c r="R5" s="22"/>
      <c r="S5" s="86">
        <f>0.018*1.5</f>
        <v>2.6999999999999996E-2</v>
      </c>
      <c r="T5" s="22">
        <f t="shared" ref="T5" ca="1" si="7">ROUNDDOWN($J5*S5,4)</f>
        <v>7.4385000000000003</v>
      </c>
      <c r="U5" s="86">
        <f>0.007*1.5</f>
        <v>1.0500000000000001E-2</v>
      </c>
      <c r="V5" s="22">
        <f t="shared" ref="V5" ca="1" si="8">ROUNDDOWN($J5*U5,4)</f>
        <v>2.8927</v>
      </c>
      <c r="W5" s="87" t="s">
        <v>1448</v>
      </c>
    </row>
    <row r="6" spans="1:23" ht="21.95" customHeight="1">
      <c r="A6" s="110" t="s">
        <v>1221</v>
      </c>
      <c r="B6" s="123" t="s">
        <v>582</v>
      </c>
      <c r="C6" s="497" t="s">
        <v>407</v>
      </c>
      <c r="D6" s="84">
        <f ca="1">SUM(SUMIF('2.외등(산)'!$C$3:$C$25,B6,'2.외등(산)'!$K$3:$K$25),SUMIF('2.외등(산)'!$E$3:$E$25,B6,'2.외등(산)'!$L$3:$L$25),SUMIF('2.외등(산)'!$G$3:$G$25,B6,'2.외등(산)'!$J$3:$J$25))</f>
        <v>407.5</v>
      </c>
      <c r="E6" s="84"/>
      <c r="F6" s="84"/>
      <c r="G6" s="84"/>
      <c r="H6" s="84"/>
      <c r="I6" s="84"/>
      <c r="J6" s="112">
        <f t="shared" ref="J6" ca="1" si="9">SUM(D6:I6)</f>
        <v>407.5</v>
      </c>
      <c r="K6" s="85">
        <v>0.05</v>
      </c>
      <c r="L6" s="22">
        <f t="shared" ca="1" si="1"/>
        <v>428</v>
      </c>
      <c r="M6" s="86">
        <v>6.0000000000000001E-3</v>
      </c>
      <c r="N6" s="22">
        <f t="shared" ca="1" si="2"/>
        <v>2.4449999999999998</v>
      </c>
      <c r="O6" s="86"/>
      <c r="P6" s="22"/>
      <c r="Q6" s="86"/>
      <c r="R6" s="22"/>
      <c r="S6" s="86"/>
      <c r="T6" s="22"/>
      <c r="U6" s="86"/>
      <c r="V6" s="22"/>
      <c r="W6" s="87" t="s">
        <v>961</v>
      </c>
    </row>
    <row r="7" spans="1:23" ht="21.95" customHeight="1">
      <c r="A7" s="110" t="s">
        <v>391</v>
      </c>
      <c r="B7" s="110" t="s">
        <v>1043</v>
      </c>
      <c r="C7" s="497" t="s">
        <v>407</v>
      </c>
      <c r="D7" s="84">
        <f ca="1">SUM(SUMIF('2.외등(산)'!$C$3:$C$25,B7,'2.외등(산)'!$K$3:$K$25),SUMIF('2.외등(산)'!$E$3:$E$25,B7,'2.외등(산)'!$L$3:$L$25),SUMIF('2.외등(산)'!$G$3:$G$25,B7,'2.외등(산)'!$J$3:$J$25))</f>
        <v>735</v>
      </c>
      <c r="E7" s="84"/>
      <c r="F7" s="84"/>
      <c r="G7" s="84"/>
      <c r="H7" s="84"/>
      <c r="I7" s="84"/>
      <c r="J7" s="112">
        <f t="shared" ref="J7:J12" ca="1" si="10">SUM(D7:I7)</f>
        <v>735</v>
      </c>
      <c r="K7" s="85">
        <v>0.03</v>
      </c>
      <c r="L7" s="22">
        <f t="shared" ca="1" si="1"/>
        <v>757</v>
      </c>
      <c r="M7" s="86"/>
      <c r="N7" s="22"/>
      <c r="O7" s="86">
        <v>1.7999999999999999E-2</v>
      </c>
      <c r="P7" s="22">
        <f t="shared" ref="P7" ca="1" si="11">ROUNDDOWN($J7*O7,4)</f>
        <v>13.23</v>
      </c>
      <c r="Q7" s="86"/>
      <c r="R7" s="22"/>
      <c r="S7" s="86"/>
      <c r="T7" s="22"/>
      <c r="U7" s="86"/>
      <c r="V7" s="22"/>
      <c r="W7" s="87" t="s">
        <v>1538</v>
      </c>
    </row>
    <row r="8" spans="1:23" ht="21.95" customHeight="1">
      <c r="A8" s="110" t="s">
        <v>443</v>
      </c>
      <c r="B8" s="110" t="s">
        <v>1548</v>
      </c>
      <c r="C8" s="497" t="s">
        <v>419</v>
      </c>
      <c r="D8" s="84">
        <v>7</v>
      </c>
      <c r="E8" s="84"/>
      <c r="F8" s="84"/>
      <c r="G8" s="84"/>
      <c r="H8" s="84"/>
      <c r="I8" s="84"/>
      <c r="J8" s="112">
        <f t="shared" si="10"/>
        <v>7</v>
      </c>
      <c r="K8" s="85"/>
      <c r="L8" s="22">
        <f t="shared" si="1"/>
        <v>7</v>
      </c>
      <c r="M8" s="86">
        <v>0.11</v>
      </c>
      <c r="N8" s="22">
        <f t="shared" ref="N8:N18" si="12">ROUNDDOWN($J8*M8,4)</f>
        <v>0.77</v>
      </c>
      <c r="O8" s="86"/>
      <c r="P8" s="22"/>
      <c r="Q8" s="86"/>
      <c r="R8" s="22"/>
      <c r="S8" s="86">
        <v>0.08</v>
      </c>
      <c r="T8" s="22">
        <f t="shared" ref="T8" si="13">ROUNDDOWN($J8*S8,4)</f>
        <v>0.56000000000000005</v>
      </c>
      <c r="U8" s="86"/>
      <c r="V8" s="22"/>
      <c r="W8" s="87" t="s">
        <v>961</v>
      </c>
    </row>
    <row r="9" spans="1:23" ht="21.95" customHeight="1">
      <c r="A9" s="110" t="s">
        <v>1576</v>
      </c>
      <c r="B9" s="110" t="s">
        <v>1558</v>
      </c>
      <c r="C9" s="497" t="s">
        <v>89</v>
      </c>
      <c r="D9" s="498">
        <v>7</v>
      </c>
      <c r="E9" s="498"/>
      <c r="F9" s="498"/>
      <c r="G9" s="498"/>
      <c r="H9" s="84"/>
      <c r="I9" s="84"/>
      <c r="J9" s="112">
        <f t="shared" si="10"/>
        <v>7</v>
      </c>
      <c r="K9" s="85"/>
      <c r="L9" s="22">
        <f t="shared" si="1"/>
        <v>7</v>
      </c>
      <c r="M9" s="86">
        <v>0.31</v>
      </c>
      <c r="N9" s="22">
        <f t="shared" si="12"/>
        <v>2.17</v>
      </c>
      <c r="O9" s="86"/>
      <c r="P9" s="22"/>
      <c r="Q9" s="86"/>
      <c r="R9" s="22"/>
      <c r="S9" s="86"/>
      <c r="T9" s="22"/>
      <c r="U9" s="86"/>
      <c r="V9" s="22"/>
      <c r="W9" s="87" t="s">
        <v>1587</v>
      </c>
    </row>
    <row r="10" spans="1:23" ht="21.95" customHeight="1">
      <c r="A10" s="110" t="s">
        <v>514</v>
      </c>
      <c r="B10" s="110" t="s">
        <v>1511</v>
      </c>
      <c r="C10" s="492" t="s">
        <v>419</v>
      </c>
      <c r="D10" s="84">
        <v>11</v>
      </c>
      <c r="E10" s="498"/>
      <c r="F10" s="498"/>
      <c r="G10" s="498"/>
      <c r="H10" s="84"/>
      <c r="I10" s="84"/>
      <c r="J10" s="112">
        <f t="shared" si="10"/>
        <v>11</v>
      </c>
      <c r="K10" s="85"/>
      <c r="L10" s="22">
        <f t="shared" si="1"/>
        <v>11</v>
      </c>
      <c r="M10" s="86"/>
      <c r="N10" s="22"/>
      <c r="O10" s="86"/>
      <c r="P10" s="22"/>
      <c r="Q10" s="86">
        <v>7.0000000000000007E-2</v>
      </c>
      <c r="R10" s="22">
        <f t="shared" ref="R10:T10" si="14">ROUNDDOWN($J10*Q10,4)</f>
        <v>0.77</v>
      </c>
      <c r="S10" s="86">
        <v>7.0000000000000007E-2</v>
      </c>
      <c r="T10" s="22">
        <f t="shared" si="14"/>
        <v>0.77</v>
      </c>
      <c r="U10" s="86"/>
      <c r="V10" s="22">
        <f t="shared" ref="V10" si="15">ROUNDDOWN($J10*U10,4)</f>
        <v>0</v>
      </c>
      <c r="W10" s="87"/>
    </row>
    <row r="11" spans="1:23" ht="21.95" customHeight="1">
      <c r="A11" s="110" t="s">
        <v>1392</v>
      </c>
      <c r="B11" s="110" t="s">
        <v>1404</v>
      </c>
      <c r="C11" s="497" t="s">
        <v>89</v>
      </c>
      <c r="D11" s="84">
        <v>1</v>
      </c>
      <c r="E11" s="498"/>
      <c r="F11" s="498"/>
      <c r="G11" s="498"/>
      <c r="H11" s="84"/>
      <c r="I11" s="84"/>
      <c r="J11" s="112">
        <f t="shared" si="10"/>
        <v>1</v>
      </c>
      <c r="K11" s="85"/>
      <c r="L11" s="22">
        <f t="shared" si="1"/>
        <v>1</v>
      </c>
      <c r="M11" s="86">
        <v>0.04</v>
      </c>
      <c r="N11" s="22">
        <f t="shared" si="12"/>
        <v>0.04</v>
      </c>
      <c r="O11" s="86"/>
      <c r="P11" s="22"/>
      <c r="Q11" s="86"/>
      <c r="R11" s="22"/>
      <c r="S11" s="86"/>
      <c r="T11" s="22"/>
      <c r="U11" s="86"/>
      <c r="V11" s="22"/>
      <c r="W11" s="87" t="s">
        <v>1552</v>
      </c>
    </row>
    <row r="12" spans="1:23" ht="21.95" customHeight="1">
      <c r="A12" s="110" t="s">
        <v>1222</v>
      </c>
      <c r="B12" s="110" t="s">
        <v>1223</v>
      </c>
      <c r="C12" s="497" t="s">
        <v>419</v>
      </c>
      <c r="D12" s="498">
        <v>8</v>
      </c>
      <c r="E12" s="498"/>
      <c r="F12" s="498"/>
      <c r="G12" s="498"/>
      <c r="H12" s="84"/>
      <c r="I12" s="84"/>
      <c r="J12" s="112">
        <f t="shared" si="10"/>
        <v>8</v>
      </c>
      <c r="K12" s="85"/>
      <c r="L12" s="22">
        <f t="shared" si="1"/>
        <v>8</v>
      </c>
      <c r="M12" s="86">
        <v>0.13300000000000001</v>
      </c>
      <c r="N12" s="22">
        <f t="shared" si="12"/>
        <v>1.0640000000000001</v>
      </c>
      <c r="O12" s="86"/>
      <c r="P12" s="22"/>
      <c r="Q12" s="86"/>
      <c r="R12" s="22"/>
      <c r="S12" s="86"/>
      <c r="T12" s="22"/>
      <c r="U12" s="86"/>
      <c r="V12" s="22"/>
      <c r="W12" s="87" t="s">
        <v>1564</v>
      </c>
    </row>
    <row r="13" spans="1:23" ht="21.95" customHeight="1">
      <c r="A13" s="110" t="s">
        <v>1565</v>
      </c>
      <c r="B13" s="110" t="s">
        <v>1566</v>
      </c>
      <c r="C13" s="497" t="s">
        <v>967</v>
      </c>
      <c r="D13" s="498">
        <v>8</v>
      </c>
      <c r="E13" s="498"/>
      <c r="F13" s="498"/>
      <c r="G13" s="498"/>
      <c r="H13" s="84"/>
      <c r="I13" s="84"/>
      <c r="J13" s="112">
        <f t="shared" ref="J13" si="16">SUM(D13:I13)</f>
        <v>8</v>
      </c>
      <c r="K13" s="85"/>
      <c r="L13" s="22">
        <f t="shared" ref="L13" si="17">ROUND(J13+(J13*K13),0)</f>
        <v>8</v>
      </c>
      <c r="M13" s="86"/>
      <c r="N13" s="22">
        <f t="shared" ref="N13" si="18">ROUNDDOWN($J13*M13,4)</f>
        <v>0</v>
      </c>
      <c r="O13" s="86"/>
      <c r="P13" s="22"/>
      <c r="Q13" s="86"/>
      <c r="R13" s="22"/>
      <c r="S13" s="86"/>
      <c r="T13" s="22"/>
      <c r="U13" s="86"/>
      <c r="V13" s="22"/>
      <c r="W13" s="87"/>
    </row>
    <row r="14" spans="1:23" ht="21.95" customHeight="1">
      <c r="A14" s="110" t="s">
        <v>1218</v>
      </c>
      <c r="B14" s="110" t="s">
        <v>1325</v>
      </c>
      <c r="C14" s="497" t="s">
        <v>1219</v>
      </c>
      <c r="D14" s="84">
        <f ca="1">SUM(SUMIF('2.외등(산)'!$C$3:$C$25,B14,'2.외등(산)'!$K$3:$K$25),SUMIF('2.외등(산)'!$E$3:$E$25,B14,'2.외등(산)'!$L$3:$L$25),SUMIF('2.외등(산)'!$G$3:$G$25,B14,'2.외등(산)'!$J$3:$J$25))</f>
        <v>120.89999999999999</v>
      </c>
      <c r="E14" s="498"/>
      <c r="F14" s="498"/>
      <c r="G14" s="498"/>
      <c r="H14" s="84"/>
      <c r="I14" s="84"/>
      <c r="J14" s="112">
        <f t="shared" ref="J14" ca="1" si="19">SUM(D14:I14)</f>
        <v>120.89999999999999</v>
      </c>
      <c r="K14" s="85"/>
      <c r="L14" s="22">
        <f t="shared" ca="1" si="1"/>
        <v>121</v>
      </c>
      <c r="M14" s="86"/>
      <c r="N14" s="22">
        <f t="shared" ca="1" si="12"/>
        <v>0</v>
      </c>
      <c r="O14" s="86"/>
      <c r="P14" s="22"/>
      <c r="Q14" s="86"/>
      <c r="R14" s="22"/>
      <c r="S14" s="86"/>
      <c r="T14" s="22"/>
      <c r="U14" s="86"/>
      <c r="V14" s="22"/>
      <c r="W14" s="87"/>
    </row>
    <row r="15" spans="1:23" ht="21.95" customHeight="1">
      <c r="A15" s="110" t="s">
        <v>1470</v>
      </c>
      <c r="B15" s="110" t="s">
        <v>1325</v>
      </c>
      <c r="C15" s="497" t="s">
        <v>1219</v>
      </c>
      <c r="D15" s="84">
        <f ca="1">SUM(SUMIF('2.외등(산)'!$C$3:$C$25,B15,'2.외등(산)'!$K$3:$K$25),SUMIF('2.외등(산)'!$E$3:$E$25,B15,'2.외등(산)'!$L$3:$L$25),SUMIF('2.외등(산)'!$G$3:$G$25,B15,'2.외등(산)'!$J$3:$J$25))</f>
        <v>120.89999999999999</v>
      </c>
      <c r="E15" s="498"/>
      <c r="F15" s="498"/>
      <c r="G15" s="498"/>
      <c r="H15" s="84"/>
      <c r="I15" s="84"/>
      <c r="J15" s="112">
        <f t="shared" ref="J15:J22" ca="1" si="20">SUM(D15:I15)</f>
        <v>120.89999999999999</v>
      </c>
      <c r="K15" s="85"/>
      <c r="L15" s="22">
        <f t="shared" ca="1" si="1"/>
        <v>121</v>
      </c>
      <c r="M15" s="86"/>
      <c r="N15" s="22">
        <f t="shared" ca="1" si="12"/>
        <v>0</v>
      </c>
      <c r="O15" s="86"/>
      <c r="P15" s="22"/>
      <c r="Q15" s="86"/>
      <c r="R15" s="22"/>
      <c r="S15" s="86"/>
      <c r="T15" s="22"/>
      <c r="U15" s="86"/>
      <c r="V15" s="22"/>
      <c r="W15" s="87"/>
    </row>
    <row r="16" spans="1:23" ht="21.95" customHeight="1">
      <c r="A16" s="231" t="s">
        <v>404</v>
      </c>
      <c r="B16" s="231" t="s">
        <v>405</v>
      </c>
      <c r="C16" s="497" t="s">
        <v>407</v>
      </c>
      <c r="D16" s="84">
        <f ca="1">SUM(SUMIF('2.외등(산)'!$C$3:$C$25,B16,'2.외등(산)'!$K$3:$K$25),SUMIF('2.외등(산)'!$E$3:$E$25,B16,'2.외등(산)'!$L$3:$L$25),SUMIF('2.외등(산)'!$G$3:$G$25,B16,'2.외등(산)'!$J$3:$J$25))</f>
        <v>403</v>
      </c>
      <c r="E16" s="498"/>
      <c r="F16" s="498"/>
      <c r="G16" s="498"/>
      <c r="H16" s="84"/>
      <c r="I16" s="84"/>
      <c r="J16" s="112">
        <f t="shared" ca="1" si="20"/>
        <v>403</v>
      </c>
      <c r="K16" s="85"/>
      <c r="L16" s="22">
        <f t="shared" ca="1" si="1"/>
        <v>403</v>
      </c>
      <c r="M16" s="86"/>
      <c r="N16" s="22"/>
      <c r="O16" s="86"/>
      <c r="P16" s="22"/>
      <c r="Q16" s="86"/>
      <c r="R16" s="22"/>
      <c r="S16" s="86"/>
      <c r="T16" s="22"/>
      <c r="U16" s="86"/>
      <c r="V16" s="22"/>
      <c r="W16" s="87"/>
    </row>
    <row r="17" spans="1:24" ht="21.95" customHeight="1">
      <c r="A17" s="231" t="s">
        <v>1586</v>
      </c>
      <c r="B17" s="110" t="s">
        <v>1558</v>
      </c>
      <c r="C17" s="497" t="s">
        <v>89</v>
      </c>
      <c r="D17" s="498">
        <v>1</v>
      </c>
      <c r="E17" s="498"/>
      <c r="F17" s="498"/>
      <c r="G17" s="498"/>
      <c r="H17" s="84"/>
      <c r="I17" s="84"/>
      <c r="J17" s="112">
        <f t="shared" si="20"/>
        <v>1</v>
      </c>
      <c r="K17" s="85"/>
      <c r="L17" s="22">
        <f t="shared" si="1"/>
        <v>1</v>
      </c>
      <c r="M17" s="86">
        <f>0.31*1.8</f>
        <v>0.55800000000000005</v>
      </c>
      <c r="N17" s="22">
        <f t="shared" si="12"/>
        <v>0.55800000000000005</v>
      </c>
      <c r="O17" s="86"/>
      <c r="P17" s="22"/>
      <c r="Q17" s="86"/>
      <c r="R17" s="22"/>
      <c r="S17" s="86"/>
      <c r="T17" s="22"/>
      <c r="U17" s="86"/>
      <c r="V17" s="22"/>
      <c r="W17" s="87" t="s">
        <v>1587</v>
      </c>
    </row>
    <row r="18" spans="1:24" ht="21.95" customHeight="1">
      <c r="A18" s="231" t="s">
        <v>1588</v>
      </c>
      <c r="B18" s="110" t="s">
        <v>1589</v>
      </c>
      <c r="C18" s="497" t="s">
        <v>89</v>
      </c>
      <c r="D18" s="498">
        <v>3</v>
      </c>
      <c r="E18" s="498"/>
      <c r="F18" s="498"/>
      <c r="G18" s="498"/>
      <c r="H18" s="84"/>
      <c r="I18" s="84"/>
      <c r="J18" s="112">
        <f t="shared" si="20"/>
        <v>3</v>
      </c>
      <c r="K18" s="85"/>
      <c r="L18" s="22">
        <f t="shared" si="1"/>
        <v>3</v>
      </c>
      <c r="M18" s="86">
        <f>2.1*0.5</f>
        <v>1.05</v>
      </c>
      <c r="N18" s="22">
        <f t="shared" si="12"/>
        <v>3.15</v>
      </c>
      <c r="O18" s="86"/>
      <c r="P18" s="22"/>
      <c r="Q18" s="86"/>
      <c r="R18" s="22"/>
      <c r="S18" s="86"/>
      <c r="T18" s="22"/>
      <c r="U18" s="86"/>
      <c r="V18" s="22"/>
      <c r="W18" s="87" t="s">
        <v>1587</v>
      </c>
    </row>
    <row r="19" spans="1:24" ht="21.95" customHeight="1">
      <c r="A19" s="231" t="s">
        <v>1590</v>
      </c>
      <c r="B19" s="231" t="s">
        <v>1591</v>
      </c>
      <c r="C19" s="497" t="s">
        <v>1195</v>
      </c>
      <c r="D19" s="498">
        <v>1</v>
      </c>
      <c r="E19" s="498"/>
      <c r="F19" s="498"/>
      <c r="G19" s="498"/>
      <c r="H19" s="84"/>
      <c r="I19" s="84"/>
      <c r="J19" s="112">
        <f t="shared" si="20"/>
        <v>1</v>
      </c>
      <c r="K19" s="85"/>
      <c r="L19" s="22">
        <f t="shared" si="1"/>
        <v>1</v>
      </c>
      <c r="M19" s="86"/>
      <c r="N19" s="22"/>
      <c r="O19" s="86"/>
      <c r="P19" s="22"/>
      <c r="Q19" s="86"/>
      <c r="R19" s="22"/>
      <c r="S19" s="86"/>
      <c r="T19" s="22"/>
      <c r="U19" s="86"/>
      <c r="V19" s="22"/>
      <c r="W19" s="87"/>
    </row>
    <row r="20" spans="1:24" ht="21.95" customHeight="1">
      <c r="A20" s="231" t="s">
        <v>1592</v>
      </c>
      <c r="B20" s="231" t="s">
        <v>1593</v>
      </c>
      <c r="C20" s="497" t="s">
        <v>98</v>
      </c>
      <c r="D20" s="498">
        <v>1</v>
      </c>
      <c r="E20" s="498"/>
      <c r="F20" s="498"/>
      <c r="G20" s="498"/>
      <c r="H20" s="84"/>
      <c r="I20" s="84"/>
      <c r="J20" s="112">
        <f t="shared" si="20"/>
        <v>1</v>
      </c>
      <c r="K20" s="85"/>
      <c r="L20" s="22">
        <f t="shared" si="1"/>
        <v>1</v>
      </c>
      <c r="M20" s="86"/>
      <c r="N20" s="22"/>
      <c r="O20" s="86"/>
      <c r="P20" s="22"/>
      <c r="Q20" s="86"/>
      <c r="R20" s="22"/>
      <c r="S20" s="86"/>
      <c r="T20" s="22"/>
      <c r="U20" s="86"/>
      <c r="V20" s="22"/>
      <c r="W20" s="87"/>
    </row>
    <row r="21" spans="1:24" ht="21.95" customHeight="1">
      <c r="A21" s="231" t="s">
        <v>1594</v>
      </c>
      <c r="B21" s="231" t="s">
        <v>1593</v>
      </c>
      <c r="C21" s="497" t="s">
        <v>98</v>
      </c>
      <c r="D21" s="498">
        <v>1</v>
      </c>
      <c r="E21" s="498"/>
      <c r="F21" s="498"/>
      <c r="G21" s="498"/>
      <c r="H21" s="84"/>
      <c r="I21" s="84"/>
      <c r="J21" s="112">
        <f t="shared" si="20"/>
        <v>1</v>
      </c>
      <c r="K21" s="85"/>
      <c r="L21" s="22">
        <f t="shared" si="1"/>
        <v>1</v>
      </c>
      <c r="M21" s="86"/>
      <c r="N21" s="22"/>
      <c r="O21" s="86"/>
      <c r="P21" s="22"/>
      <c r="Q21" s="86"/>
      <c r="R21" s="22"/>
      <c r="S21" s="86"/>
      <c r="T21" s="22"/>
      <c r="U21" s="86"/>
      <c r="V21" s="22"/>
      <c r="W21" s="87"/>
    </row>
    <row r="22" spans="1:24" ht="21.95" customHeight="1">
      <c r="A22" s="231" t="s">
        <v>1594</v>
      </c>
      <c r="B22" s="231" t="s">
        <v>1595</v>
      </c>
      <c r="C22" s="497" t="s">
        <v>98</v>
      </c>
      <c r="D22" s="498">
        <v>1</v>
      </c>
      <c r="E22" s="498"/>
      <c r="F22" s="498"/>
      <c r="G22" s="498"/>
      <c r="H22" s="84"/>
      <c r="I22" s="84"/>
      <c r="J22" s="112">
        <f t="shared" si="20"/>
        <v>1</v>
      </c>
      <c r="K22" s="85"/>
      <c r="L22" s="22">
        <f t="shared" si="1"/>
        <v>1</v>
      </c>
      <c r="M22" s="86"/>
      <c r="N22" s="22"/>
      <c r="O22" s="86"/>
      <c r="P22" s="22"/>
      <c r="Q22" s="86"/>
      <c r="R22" s="22"/>
      <c r="S22" s="86"/>
      <c r="T22" s="22"/>
      <c r="U22" s="86"/>
      <c r="V22" s="22"/>
      <c r="W22" s="87"/>
    </row>
    <row r="23" spans="1:24" ht="21.95" customHeight="1">
      <c r="A23" s="231"/>
      <c r="B23" s="231"/>
      <c r="C23" s="497"/>
      <c r="D23" s="498"/>
      <c r="E23" s="498"/>
      <c r="F23" s="498"/>
      <c r="G23" s="498"/>
      <c r="H23" s="84"/>
      <c r="I23" s="84"/>
      <c r="J23" s="112"/>
      <c r="K23" s="85"/>
      <c r="L23" s="22"/>
      <c r="M23" s="86"/>
      <c r="N23" s="22"/>
      <c r="O23" s="86"/>
      <c r="P23" s="22"/>
      <c r="Q23" s="86"/>
      <c r="R23" s="22"/>
      <c r="S23" s="86"/>
      <c r="T23" s="22"/>
      <c r="U23" s="86"/>
      <c r="V23" s="22"/>
      <c r="W23" s="87"/>
    </row>
    <row r="24" spans="1:24" ht="21.95" customHeight="1">
      <c r="A24" s="231"/>
      <c r="B24" s="231"/>
      <c r="C24" s="497"/>
      <c r="D24" s="498"/>
      <c r="E24" s="498"/>
      <c r="F24" s="498"/>
      <c r="G24" s="498"/>
      <c r="H24" s="84"/>
      <c r="I24" s="84"/>
      <c r="J24" s="112"/>
      <c r="K24" s="85"/>
      <c r="L24" s="22"/>
      <c r="M24" s="86"/>
      <c r="N24" s="22"/>
      <c r="O24" s="86"/>
      <c r="P24" s="22"/>
      <c r="Q24" s="86"/>
      <c r="R24" s="22"/>
      <c r="S24" s="86"/>
      <c r="T24" s="22"/>
      <c r="U24" s="86"/>
      <c r="V24" s="22"/>
      <c r="W24" s="87"/>
    </row>
    <row r="25" spans="1:24" ht="21.95" customHeight="1">
      <c r="A25" s="231"/>
      <c r="B25" s="231"/>
      <c r="C25" s="497"/>
      <c r="D25" s="498"/>
      <c r="E25" s="498"/>
      <c r="F25" s="498"/>
      <c r="G25" s="498"/>
      <c r="H25" s="84"/>
      <c r="I25" s="84"/>
      <c r="J25" s="112"/>
      <c r="K25" s="85"/>
      <c r="L25" s="22"/>
      <c r="M25" s="86"/>
      <c r="N25" s="22"/>
      <c r="O25" s="86"/>
      <c r="P25" s="22"/>
      <c r="Q25" s="86"/>
      <c r="R25" s="22"/>
      <c r="S25" s="86"/>
      <c r="T25" s="22"/>
      <c r="U25" s="86"/>
      <c r="V25" s="22"/>
      <c r="W25" s="87"/>
    </row>
    <row r="26" spans="1:24" ht="21.75" customHeight="1">
      <c r="A26" s="231"/>
      <c r="B26" s="231"/>
      <c r="C26" s="497"/>
      <c r="D26" s="498"/>
      <c r="E26" s="498"/>
      <c r="F26" s="498"/>
      <c r="G26" s="498"/>
      <c r="H26" s="84"/>
      <c r="I26" s="84"/>
      <c r="J26" s="112"/>
      <c r="K26" s="85"/>
      <c r="L26" s="22"/>
      <c r="M26" s="86"/>
      <c r="N26" s="22"/>
      <c r="O26" s="86"/>
      <c r="P26" s="22"/>
      <c r="Q26" s="86"/>
      <c r="R26" s="22"/>
      <c r="S26" s="86"/>
      <c r="T26" s="22"/>
      <c r="U26" s="86"/>
      <c r="V26" s="22"/>
      <c r="W26" s="87"/>
    </row>
    <row r="27" spans="1:24" ht="21.95" customHeight="1">
      <c r="A27" s="112" t="s">
        <v>312</v>
      </c>
      <c r="B27" s="112"/>
      <c r="C27" s="112"/>
      <c r="D27" s="112"/>
      <c r="E27" s="112"/>
      <c r="F27" s="112"/>
      <c r="G27" s="112"/>
      <c r="H27" s="112"/>
      <c r="I27" s="112"/>
      <c r="J27" s="90"/>
      <c r="K27" s="91"/>
      <c r="L27" s="22"/>
      <c r="M27" s="84"/>
      <c r="N27" s="84">
        <f ca="1">ROUNDDOWN(SUM(N3:N26)*$X27,1)</f>
        <v>10.1</v>
      </c>
      <c r="O27" s="89"/>
      <c r="P27" s="84">
        <f ca="1">ROUNDDOWN(SUM(P3:P26)*$X27,1)</f>
        <v>13.2</v>
      </c>
      <c r="Q27" s="84"/>
      <c r="R27" s="84">
        <f>ROUNDDOWN(SUM(R3:R26)*$X27,1)</f>
        <v>0.7</v>
      </c>
      <c r="S27" s="89"/>
      <c r="T27" s="84">
        <f ca="1">ROUNDDOWN(SUM(T3:T26)*$X27,1)</f>
        <v>11.2</v>
      </c>
      <c r="U27" s="84"/>
      <c r="V27" s="84">
        <f ca="1">ROUNDDOWN(SUM(V3:V26)*$X27,1)</f>
        <v>3.9</v>
      </c>
      <c r="W27" s="87"/>
      <c r="X27" s="119">
        <v>1</v>
      </c>
    </row>
  </sheetData>
  <mergeCells count="14">
    <mergeCell ref="J2:J3"/>
    <mergeCell ref="U2:V2"/>
    <mergeCell ref="A1:B1"/>
    <mergeCell ref="A2:A3"/>
    <mergeCell ref="B2:B3"/>
    <mergeCell ref="C2:C3"/>
    <mergeCell ref="D2:I2"/>
    <mergeCell ref="W2:W3"/>
    <mergeCell ref="K2:K3"/>
    <mergeCell ref="L2:L3"/>
    <mergeCell ref="M2:N2"/>
    <mergeCell ref="O2:P2"/>
    <mergeCell ref="Q2:R2"/>
    <mergeCell ref="S2:T2"/>
  </mergeCells>
  <phoneticPr fontId="4" type="noConversion"/>
  <pageMargins left="0.86614173228346458" right="0.47244094488188981" top="0.78740157480314965" bottom="0.47244094488188981" header="0.47244094488188981" footer="0"/>
  <pageSetup paperSize="9" scale="79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82"/>
  <dimension ref="A1:X25"/>
  <sheetViews>
    <sheetView showZeros="0" view="pageBreakPreview" zoomScaleSheetLayoutView="100" workbookViewId="0">
      <pane xSplit="2" ySplit="2" topLeftCell="C3" activePane="bottomRight" state="frozen"/>
      <selection activeCell="P15" sqref="P15"/>
      <selection pane="topRight" activeCell="P15" sqref="P15"/>
      <selection pane="bottomLeft" activeCell="P15" sqref="P15"/>
      <selection pane="bottomRight" activeCell="P15" sqref="P15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1547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99" t="s">
        <v>1516</v>
      </c>
      <c r="B3" s="118" t="s">
        <v>1545</v>
      </c>
      <c r="C3" s="123" t="s">
        <v>1579</v>
      </c>
      <c r="D3" s="230">
        <v>1</v>
      </c>
      <c r="E3" s="123" t="s">
        <v>1580</v>
      </c>
      <c r="F3" s="230">
        <v>1</v>
      </c>
      <c r="G3" s="123" t="s">
        <v>415</v>
      </c>
      <c r="H3" s="230">
        <v>1</v>
      </c>
      <c r="I3" s="176" t="s">
        <v>1582</v>
      </c>
      <c r="J3" s="225">
        <f ca="1">djs(I3,1)*H3</f>
        <v>119</v>
      </c>
      <c r="K3" s="228">
        <f t="shared" ref="K3:K24" ca="1" si="0">((djs(I3,0)+djs(I3,1))*D3)*H3</f>
        <v>119</v>
      </c>
      <c r="L3" s="229">
        <f t="shared" ref="L3:L24" ca="1" si="1">((djs(I3,0)+djs(I3,1))*F3)*H3</f>
        <v>119</v>
      </c>
      <c r="M3" s="232"/>
    </row>
    <row r="4" spans="1:24" s="167" customFormat="1" ht="22.5" customHeight="1">
      <c r="A4" s="99"/>
      <c r="B4" s="118"/>
      <c r="C4" s="123" t="s">
        <v>1579</v>
      </c>
      <c r="D4" s="230">
        <v>2</v>
      </c>
      <c r="E4" s="123" t="s">
        <v>1580</v>
      </c>
      <c r="F4" s="230">
        <v>1</v>
      </c>
      <c r="G4" s="123" t="s">
        <v>1581</v>
      </c>
      <c r="H4" s="230">
        <v>1</v>
      </c>
      <c r="I4" s="176" t="s">
        <v>1583</v>
      </c>
      <c r="J4" s="225">
        <f ca="1">djs(I4,1)*H4</f>
        <v>275.5</v>
      </c>
      <c r="K4" s="228">
        <f t="shared" ref="K4" ca="1" si="2">((djs(I4,0)+djs(I4,1))*D4)*H4</f>
        <v>553</v>
      </c>
      <c r="L4" s="229">
        <f t="shared" ref="L4" ca="1" si="3">((djs(I4,0)+djs(I4,1))*F4)*H4</f>
        <v>276.5</v>
      </c>
      <c r="M4" s="232"/>
    </row>
    <row r="5" spans="1:24" s="167" customFormat="1" ht="22.5" customHeight="1">
      <c r="A5" s="99"/>
      <c r="B5" s="118"/>
      <c r="C5" s="123" t="s">
        <v>1579</v>
      </c>
      <c r="D5" s="230">
        <v>2</v>
      </c>
      <c r="E5" s="123"/>
      <c r="F5" s="230">
        <v>1</v>
      </c>
      <c r="G5" s="123"/>
      <c r="H5" s="230">
        <v>1</v>
      </c>
      <c r="I5" s="176" t="s">
        <v>1584</v>
      </c>
      <c r="J5" s="225">
        <f t="shared" ref="J5:J23" ca="1" si="4">djs(I5,1)*H5</f>
        <v>6.7</v>
      </c>
      <c r="K5" s="228">
        <f t="shared" ca="1" si="0"/>
        <v>62.999999999999993</v>
      </c>
      <c r="L5" s="229">
        <f t="shared" ca="1" si="1"/>
        <v>31.499999999999996</v>
      </c>
      <c r="M5" s="232"/>
    </row>
    <row r="6" spans="1:24" s="167" customFormat="1" ht="22.5" customHeight="1">
      <c r="A6" s="99"/>
      <c r="B6" s="118" t="s">
        <v>1546</v>
      </c>
      <c r="C6" s="123" t="s">
        <v>1580</v>
      </c>
      <c r="D6" s="230">
        <v>1</v>
      </c>
      <c r="E6" s="123"/>
      <c r="F6" s="230"/>
      <c r="G6" s="123"/>
      <c r="H6" s="230">
        <v>1</v>
      </c>
      <c r="I6" s="176" t="s">
        <v>1585</v>
      </c>
      <c r="J6" s="225">
        <f t="shared" ca="1" si="4"/>
        <v>12</v>
      </c>
      <c r="K6" s="228">
        <f t="shared" ca="1" si="0"/>
        <v>12</v>
      </c>
      <c r="L6" s="229">
        <f t="shared" ca="1" si="1"/>
        <v>0</v>
      </c>
      <c r="M6" s="232"/>
    </row>
    <row r="7" spans="1:24" s="167" customFormat="1" ht="22.5" customHeight="1">
      <c r="A7" s="99"/>
      <c r="B7" s="118"/>
      <c r="C7" s="123"/>
      <c r="D7" s="230"/>
      <c r="E7" s="123"/>
      <c r="F7" s="230"/>
      <c r="G7" s="123"/>
      <c r="H7" s="230"/>
      <c r="I7" s="176"/>
      <c r="J7" s="225">
        <f t="shared" ca="1" si="4"/>
        <v>0</v>
      </c>
      <c r="K7" s="228">
        <f t="shared" ca="1" si="0"/>
        <v>0</v>
      </c>
      <c r="L7" s="229">
        <f t="shared" ca="1" si="1"/>
        <v>0</v>
      </c>
      <c r="M7" s="232"/>
    </row>
    <row r="8" spans="1:24" s="167" customFormat="1" ht="22.5" customHeight="1">
      <c r="A8" s="99"/>
      <c r="B8" s="118"/>
      <c r="C8" s="123"/>
      <c r="D8" s="230"/>
      <c r="E8" s="123"/>
      <c r="F8" s="230"/>
      <c r="G8" s="123"/>
      <c r="H8" s="230"/>
      <c r="I8" s="176"/>
      <c r="J8" s="225">
        <f t="shared" ca="1" si="4"/>
        <v>0</v>
      </c>
      <c r="K8" s="228">
        <f t="shared" ca="1" si="0"/>
        <v>0</v>
      </c>
      <c r="L8" s="229">
        <f t="shared" ca="1" si="1"/>
        <v>0</v>
      </c>
      <c r="M8" s="232"/>
    </row>
    <row r="9" spans="1:24" s="167" customFormat="1" ht="22.5" customHeight="1">
      <c r="A9" s="482"/>
      <c r="B9" s="118"/>
      <c r="C9" s="123"/>
      <c r="D9" s="230"/>
      <c r="E9" s="123"/>
      <c r="F9" s="230"/>
      <c r="G9" s="123"/>
      <c r="H9" s="230"/>
      <c r="I9" s="176"/>
      <c r="J9" s="225">
        <f t="shared" ca="1" si="4"/>
        <v>0</v>
      </c>
      <c r="K9" s="228">
        <f t="shared" ca="1" si="0"/>
        <v>0</v>
      </c>
      <c r="L9" s="229">
        <f t="shared" ca="1" si="1"/>
        <v>0</v>
      </c>
      <c r="M9" s="232"/>
    </row>
    <row r="10" spans="1:24" s="167" customFormat="1" ht="22.5" customHeight="1">
      <c r="A10" s="482"/>
      <c r="B10" s="118"/>
      <c r="C10" s="123"/>
      <c r="D10" s="230"/>
      <c r="E10" s="123"/>
      <c r="F10" s="230"/>
      <c r="G10" s="123"/>
      <c r="H10" s="230"/>
      <c r="I10" s="176"/>
      <c r="J10" s="225">
        <f t="shared" ca="1" si="4"/>
        <v>0</v>
      </c>
      <c r="K10" s="228">
        <f t="shared" ca="1" si="0"/>
        <v>0</v>
      </c>
      <c r="L10" s="229">
        <f t="shared" ca="1" si="1"/>
        <v>0</v>
      </c>
      <c r="M10" s="232"/>
    </row>
    <row r="11" spans="1:24" s="167" customFormat="1" ht="22.5" customHeight="1">
      <c r="A11" s="490" t="s">
        <v>1467</v>
      </c>
      <c r="B11" s="490"/>
      <c r="C11" s="123" t="s">
        <v>1468</v>
      </c>
      <c r="D11" s="230"/>
      <c r="E11" s="123"/>
      <c r="F11" s="230"/>
      <c r="G11" s="123" t="s">
        <v>1325</v>
      </c>
      <c r="H11" s="230">
        <v>1</v>
      </c>
      <c r="I11" s="176" t="s">
        <v>1692</v>
      </c>
      <c r="J11" s="225">
        <f t="shared" ca="1" si="4"/>
        <v>120.89999999999999</v>
      </c>
      <c r="K11" s="228">
        <f t="shared" ca="1" si="0"/>
        <v>0</v>
      </c>
      <c r="L11" s="229">
        <f t="shared" ca="1" si="1"/>
        <v>0</v>
      </c>
      <c r="M11" s="232"/>
    </row>
    <row r="12" spans="1:24" s="167" customFormat="1" ht="22.5" customHeight="1">
      <c r="A12" s="490"/>
      <c r="B12" s="490"/>
      <c r="C12" s="123" t="s">
        <v>404</v>
      </c>
      <c r="D12" s="230"/>
      <c r="E12" s="123"/>
      <c r="F12" s="230"/>
      <c r="G12" s="123" t="s">
        <v>405</v>
      </c>
      <c r="H12" s="230">
        <v>1</v>
      </c>
      <c r="I12" s="176" t="s">
        <v>1693</v>
      </c>
      <c r="J12" s="225">
        <f t="shared" ca="1" si="4"/>
        <v>403</v>
      </c>
      <c r="K12" s="228">
        <f t="shared" ca="1" si="0"/>
        <v>0</v>
      </c>
      <c r="L12" s="229">
        <f t="shared" ca="1" si="1"/>
        <v>0</v>
      </c>
      <c r="M12" s="232"/>
    </row>
    <row r="13" spans="1:24" s="167" customFormat="1" ht="22.5" customHeight="1">
      <c r="A13" s="99"/>
      <c r="B13" s="118"/>
      <c r="C13" s="123"/>
      <c r="D13" s="230"/>
      <c r="E13" s="123"/>
      <c r="F13" s="230"/>
      <c r="G13" s="123"/>
      <c r="H13" s="230"/>
      <c r="I13" s="176"/>
      <c r="J13" s="225">
        <f t="shared" ca="1" si="4"/>
        <v>0</v>
      </c>
      <c r="K13" s="228">
        <f t="shared" ca="1" si="0"/>
        <v>0</v>
      </c>
      <c r="L13" s="229">
        <f t="shared" ca="1" si="1"/>
        <v>0</v>
      </c>
      <c r="M13" s="232"/>
    </row>
    <row r="14" spans="1:24" s="167" customFormat="1" ht="22.5" customHeight="1">
      <c r="A14" s="99"/>
      <c r="B14" s="118"/>
      <c r="C14" s="123"/>
      <c r="D14" s="230"/>
      <c r="E14" s="123"/>
      <c r="F14" s="230"/>
      <c r="G14" s="123"/>
      <c r="H14" s="230"/>
      <c r="I14" s="176"/>
      <c r="J14" s="225">
        <f t="shared" ca="1" si="4"/>
        <v>0</v>
      </c>
      <c r="K14" s="228">
        <f t="shared" ca="1" si="0"/>
        <v>0</v>
      </c>
      <c r="L14" s="229">
        <f t="shared" ca="1" si="1"/>
        <v>0</v>
      </c>
      <c r="M14" s="232"/>
    </row>
    <row r="15" spans="1:24" s="167" customFormat="1" ht="22.5" customHeight="1">
      <c r="A15" s="99"/>
      <c r="B15" s="118"/>
      <c r="C15" s="123"/>
      <c r="D15" s="230"/>
      <c r="E15" s="123"/>
      <c r="F15" s="230"/>
      <c r="G15" s="123"/>
      <c r="H15" s="230"/>
      <c r="I15" s="176"/>
      <c r="J15" s="225">
        <f t="shared" ca="1" si="4"/>
        <v>0</v>
      </c>
      <c r="K15" s="228">
        <f t="shared" ca="1" si="0"/>
        <v>0</v>
      </c>
      <c r="L15" s="229">
        <f t="shared" ca="1" si="1"/>
        <v>0</v>
      </c>
      <c r="M15" s="232"/>
    </row>
    <row r="16" spans="1:24" s="167" customFormat="1" ht="22.5" customHeight="1">
      <c r="A16" s="99"/>
      <c r="B16" s="118"/>
      <c r="C16" s="123"/>
      <c r="D16" s="230"/>
      <c r="E16" s="123"/>
      <c r="F16" s="230"/>
      <c r="G16" s="123"/>
      <c r="H16" s="230"/>
      <c r="I16" s="176"/>
      <c r="J16" s="225">
        <f t="shared" ca="1" si="4"/>
        <v>0</v>
      </c>
      <c r="K16" s="228">
        <f t="shared" ca="1" si="0"/>
        <v>0</v>
      </c>
      <c r="L16" s="229">
        <f t="shared" ca="1" si="1"/>
        <v>0</v>
      </c>
      <c r="M16" s="232"/>
    </row>
    <row r="17" spans="1:13" s="167" customFormat="1" ht="22.5" customHeight="1">
      <c r="A17" s="99"/>
      <c r="B17" s="118"/>
      <c r="C17" s="123"/>
      <c r="D17" s="230"/>
      <c r="E17" s="123"/>
      <c r="F17" s="230"/>
      <c r="G17" s="123"/>
      <c r="H17" s="230"/>
      <c r="I17" s="176"/>
      <c r="J17" s="225">
        <f t="shared" ca="1" si="4"/>
        <v>0</v>
      </c>
      <c r="K17" s="228">
        <f t="shared" ca="1" si="0"/>
        <v>0</v>
      </c>
      <c r="L17" s="229">
        <f t="shared" ca="1" si="1"/>
        <v>0</v>
      </c>
      <c r="M17" s="232"/>
    </row>
    <row r="18" spans="1:13" s="167" customFormat="1" ht="22.5" customHeight="1">
      <c r="A18" s="99"/>
      <c r="B18" s="118"/>
      <c r="C18" s="123"/>
      <c r="D18" s="230"/>
      <c r="E18" s="123"/>
      <c r="F18" s="230"/>
      <c r="G18" s="123"/>
      <c r="H18" s="230"/>
      <c r="I18" s="176"/>
      <c r="J18" s="225">
        <f t="shared" ca="1" si="4"/>
        <v>0</v>
      </c>
      <c r="K18" s="228">
        <f t="shared" ca="1" si="0"/>
        <v>0</v>
      </c>
      <c r="L18" s="229">
        <f t="shared" ca="1" si="1"/>
        <v>0</v>
      </c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>
        <f t="shared" ca="1" si="4"/>
        <v>0</v>
      </c>
      <c r="K19" s="228">
        <f t="shared" ca="1" si="0"/>
        <v>0</v>
      </c>
      <c r="L19" s="229">
        <f t="shared" ca="1" si="1"/>
        <v>0</v>
      </c>
      <c r="M19" s="232"/>
    </row>
    <row r="20" spans="1:13" s="167" customFormat="1" ht="22.5" customHeight="1">
      <c r="A20" s="99"/>
      <c r="B20" s="118"/>
      <c r="C20" s="123"/>
      <c r="D20" s="230"/>
      <c r="E20" s="123"/>
      <c r="F20" s="230"/>
      <c r="G20" s="123"/>
      <c r="H20" s="230"/>
      <c r="I20" s="176"/>
      <c r="J20" s="225">
        <f t="shared" ca="1" si="4"/>
        <v>0</v>
      </c>
      <c r="K20" s="228">
        <f t="shared" ca="1" si="0"/>
        <v>0</v>
      </c>
      <c r="L20" s="229">
        <f t="shared" ca="1" si="1"/>
        <v>0</v>
      </c>
      <c r="M20" s="232"/>
    </row>
    <row r="21" spans="1:13" s="167" customFormat="1" ht="22.5" customHeight="1">
      <c r="A21" s="99"/>
      <c r="B21" s="118"/>
      <c r="C21" s="123"/>
      <c r="D21" s="230"/>
      <c r="E21" s="123"/>
      <c r="F21" s="230"/>
      <c r="G21" s="123"/>
      <c r="H21" s="230"/>
      <c r="I21" s="176"/>
      <c r="J21" s="225">
        <f t="shared" ca="1" si="4"/>
        <v>0</v>
      </c>
      <c r="K21" s="228">
        <f t="shared" ca="1" si="0"/>
        <v>0</v>
      </c>
      <c r="L21" s="229">
        <f t="shared" ca="1" si="1"/>
        <v>0</v>
      </c>
      <c r="M21" s="232"/>
    </row>
    <row r="22" spans="1:13" s="167" customFormat="1" ht="22.5" customHeight="1">
      <c r="A22" s="99"/>
      <c r="B22" s="118"/>
      <c r="C22" s="123"/>
      <c r="D22" s="230"/>
      <c r="E22" s="123"/>
      <c r="F22" s="230"/>
      <c r="G22" s="123"/>
      <c r="H22" s="230"/>
      <c r="I22" s="176"/>
      <c r="J22" s="225">
        <f t="shared" ca="1" si="4"/>
        <v>0</v>
      </c>
      <c r="K22" s="228">
        <f t="shared" ca="1" si="0"/>
        <v>0</v>
      </c>
      <c r="L22" s="229">
        <f t="shared" ca="1" si="1"/>
        <v>0</v>
      </c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>
        <f t="shared" ca="1" si="4"/>
        <v>0</v>
      </c>
      <c r="K23" s="228">
        <f t="shared" ca="1" si="0"/>
        <v>0</v>
      </c>
      <c r="L23" s="229">
        <f t="shared" ca="1" si="1"/>
        <v>0</v>
      </c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/>
      <c r="K24" s="228">
        <f t="shared" ca="1" si="0"/>
        <v>0</v>
      </c>
      <c r="L24" s="229">
        <f t="shared" ca="1" si="1"/>
        <v>0</v>
      </c>
      <c r="M24" s="232"/>
    </row>
    <row r="25" spans="1:13" s="167" customFormat="1" ht="22.5" customHeight="1">
      <c r="A25" s="489"/>
      <c r="B25" s="395"/>
      <c r="C25" s="396"/>
      <c r="D25" s="397"/>
      <c r="E25" s="396"/>
      <c r="F25" s="397"/>
      <c r="G25" s="396"/>
      <c r="H25" s="397"/>
      <c r="I25" s="398"/>
      <c r="J25" s="399"/>
      <c r="K25" s="400"/>
      <c r="L25" s="401"/>
      <c r="M25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&amp;C&amp;"굴림체,굵게"&amp;14자 료 산 출 근 거 서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5"/>
  </sheetPr>
  <dimension ref="A1:I18"/>
  <sheetViews>
    <sheetView view="pageBreakPreview" workbookViewId="0">
      <selection activeCell="A11" sqref="A11"/>
    </sheetView>
  </sheetViews>
  <sheetFormatPr defaultRowHeight="11.25"/>
  <cols>
    <col min="1" max="1" width="15.33203125" style="162" customWidth="1"/>
    <col min="2" max="2" width="11.33203125" style="162" customWidth="1"/>
    <col min="3" max="3" width="24.21875" style="162" customWidth="1"/>
    <col min="4" max="4" width="5.88671875" style="162" customWidth="1"/>
    <col min="5" max="8" width="11.109375" style="162" customWidth="1"/>
    <col min="9" max="9" width="11.88671875" style="162" customWidth="1"/>
    <col min="10" max="11" width="10.33203125" style="162" customWidth="1"/>
    <col min="12" max="16384" width="8.88671875" style="162"/>
  </cols>
  <sheetData>
    <row r="1" spans="1:9" ht="25.5" customHeight="1">
      <c r="A1" s="391" t="s">
        <v>542</v>
      </c>
      <c r="B1" s="391" t="s">
        <v>488</v>
      </c>
      <c r="C1" s="391" t="s">
        <v>543</v>
      </c>
      <c r="D1" s="391" t="s">
        <v>544</v>
      </c>
      <c r="E1" s="391" t="s">
        <v>545</v>
      </c>
      <c r="F1" s="391" t="s">
        <v>546</v>
      </c>
      <c r="G1" s="391" t="s">
        <v>539</v>
      </c>
      <c r="H1" s="391" t="s">
        <v>547</v>
      </c>
      <c r="I1" s="391" t="s">
        <v>540</v>
      </c>
    </row>
    <row r="2" spans="1:9" ht="25.5" customHeight="1">
      <c r="A2" s="176" t="s">
        <v>556</v>
      </c>
      <c r="B2" s="112"/>
      <c r="C2" s="112"/>
      <c r="D2" s="99"/>
      <c r="E2" s="112"/>
      <c r="F2" s="112"/>
      <c r="G2" s="112"/>
      <c r="H2" s="112"/>
      <c r="I2" s="110"/>
    </row>
    <row r="3" spans="1:9" ht="25.5" customHeight="1">
      <c r="A3" s="110" t="s">
        <v>549</v>
      </c>
      <c r="B3" s="110" t="s">
        <v>550</v>
      </c>
      <c r="C3" s="112" t="s">
        <v>558</v>
      </c>
      <c r="D3" s="99" t="e">
        <f>#REF!</f>
        <v>#REF!</v>
      </c>
      <c r="E3" s="112" t="e">
        <f ca="1">djs(C3,1)*D3</f>
        <v>#REF!</v>
      </c>
      <c r="F3" s="112">
        <v>1.5E-3</v>
      </c>
      <c r="G3" s="112">
        <v>7930</v>
      </c>
      <c r="H3" s="112" t="e">
        <f ca="1">ROUNDDOWN(E3*F3*G3,1)</f>
        <v>#REF!</v>
      </c>
      <c r="I3" s="112" t="s">
        <v>561</v>
      </c>
    </row>
    <row r="4" spans="1:9" ht="25.5" customHeight="1">
      <c r="A4" s="110" t="s">
        <v>549</v>
      </c>
      <c r="B4" s="110" t="s">
        <v>551</v>
      </c>
      <c r="C4" s="112" t="s">
        <v>559</v>
      </c>
      <c r="D4" s="99" t="e">
        <f>#REF!</f>
        <v>#REF!</v>
      </c>
      <c r="E4" s="112" t="e">
        <f ca="1">djs(C4,1)*D4</f>
        <v>#REF!</v>
      </c>
      <c r="F4" s="112">
        <v>1.5E-3</v>
      </c>
      <c r="G4" s="112">
        <v>7930</v>
      </c>
      <c r="H4" s="112" t="e">
        <f ca="1">ROUNDDOWN(E4*F4*G4,1)</f>
        <v>#REF!</v>
      </c>
      <c r="I4" s="112" t="s">
        <v>561</v>
      </c>
    </row>
    <row r="5" spans="1:9" ht="25.5" customHeight="1">
      <c r="A5" s="110" t="s">
        <v>549</v>
      </c>
      <c r="B5" s="110" t="s">
        <v>552</v>
      </c>
      <c r="C5" s="112" t="s">
        <v>560</v>
      </c>
      <c r="D5" s="99" t="e">
        <f>#REF!</f>
        <v>#REF!</v>
      </c>
      <c r="E5" s="112" t="e">
        <f ca="1">djs(C5,1)*D5</f>
        <v>#REF!</v>
      </c>
      <c r="F5" s="112">
        <v>1.5E-3</v>
      </c>
      <c r="G5" s="112">
        <v>7930</v>
      </c>
      <c r="H5" s="112" t="e">
        <f ca="1">ROUNDDOWN(E5*F5*G5,1)</f>
        <v>#REF!</v>
      </c>
      <c r="I5" s="112" t="s">
        <v>561</v>
      </c>
    </row>
    <row r="6" spans="1:9" ht="25.5" customHeight="1">
      <c r="A6" s="99" t="s">
        <v>548</v>
      </c>
      <c r="B6" s="112"/>
      <c r="C6" s="112"/>
      <c r="D6" s="99"/>
      <c r="E6" s="112"/>
      <c r="F6" s="112"/>
      <c r="G6" s="112"/>
      <c r="H6" s="112" t="e">
        <f ca="1">SUM(H3:H5)</f>
        <v>#REF!</v>
      </c>
      <c r="I6" s="112"/>
    </row>
    <row r="7" spans="1:9" ht="25.5" customHeight="1">
      <c r="A7" s="112"/>
      <c r="B7" s="112"/>
      <c r="C7" s="112"/>
      <c r="D7" s="99"/>
      <c r="E7" s="112"/>
      <c r="F7" s="112"/>
      <c r="G7" s="112"/>
      <c r="H7" s="112"/>
      <c r="I7" s="112"/>
    </row>
    <row r="8" spans="1:9" ht="25.5" customHeight="1">
      <c r="A8" s="176" t="s">
        <v>557</v>
      </c>
      <c r="B8" s="112"/>
      <c r="C8" s="112"/>
      <c r="D8" s="99"/>
      <c r="E8" s="112"/>
      <c r="F8" s="112"/>
      <c r="G8" s="112"/>
      <c r="H8" s="112"/>
      <c r="I8" s="110"/>
    </row>
    <row r="9" spans="1:9" ht="25.5" customHeight="1">
      <c r="A9" s="110" t="s">
        <v>549</v>
      </c>
      <c r="B9" s="110" t="s">
        <v>553</v>
      </c>
      <c r="C9" s="112" t="s">
        <v>564</v>
      </c>
      <c r="D9" s="99" t="e">
        <f>#REF!</f>
        <v>#REF!</v>
      </c>
      <c r="E9" s="112" t="e">
        <f ca="1">djs(C9,1)*D9</f>
        <v>#REF!</v>
      </c>
      <c r="F9" s="112">
        <v>1.5E-3</v>
      </c>
      <c r="G9" s="112">
        <v>7930</v>
      </c>
      <c r="H9" s="112" t="e">
        <f ca="1">ROUNDDOWN(E9*F9*G9,1)</f>
        <v>#REF!</v>
      </c>
      <c r="I9" s="112" t="s">
        <v>561</v>
      </c>
    </row>
    <row r="10" spans="1:9" ht="25.5" customHeight="1">
      <c r="A10" s="110" t="s">
        <v>549</v>
      </c>
      <c r="B10" s="110" t="s">
        <v>554</v>
      </c>
      <c r="C10" s="112" t="s">
        <v>562</v>
      </c>
      <c r="D10" s="99" t="e">
        <f>#REF!</f>
        <v>#REF!</v>
      </c>
      <c r="E10" s="112" t="e">
        <f ca="1">djs(C10,1)*D10</f>
        <v>#REF!</v>
      </c>
      <c r="F10" s="112">
        <v>1.5E-3</v>
      </c>
      <c r="G10" s="112">
        <v>7930</v>
      </c>
      <c r="H10" s="112" t="e">
        <f ca="1">ROUNDDOWN(E10*F10*G10,1)</f>
        <v>#REF!</v>
      </c>
      <c r="I10" s="112" t="s">
        <v>561</v>
      </c>
    </row>
    <row r="11" spans="1:9" ht="25.5" customHeight="1">
      <c r="A11" s="110" t="s">
        <v>549</v>
      </c>
      <c r="B11" s="110" t="s">
        <v>555</v>
      </c>
      <c r="C11" s="112" t="s">
        <v>563</v>
      </c>
      <c r="D11" s="99" t="e">
        <f>#REF!</f>
        <v>#REF!</v>
      </c>
      <c r="E11" s="112" t="e">
        <f ca="1">djs(C11,1)*D11</f>
        <v>#REF!</v>
      </c>
      <c r="F11" s="112">
        <v>1.5E-3</v>
      </c>
      <c r="G11" s="112">
        <v>7930</v>
      </c>
      <c r="H11" s="112" t="e">
        <f ca="1">ROUNDDOWN(E11*F11*G11,1)</f>
        <v>#REF!</v>
      </c>
      <c r="I11" s="112" t="s">
        <v>561</v>
      </c>
    </row>
    <row r="12" spans="1:9" ht="25.5" customHeight="1">
      <c r="A12" s="99" t="s">
        <v>548</v>
      </c>
      <c r="B12" s="112"/>
      <c r="C12" s="112"/>
      <c r="D12" s="99"/>
      <c r="E12" s="112"/>
      <c r="F12" s="112"/>
      <c r="G12" s="112"/>
      <c r="H12" s="112" t="e">
        <f ca="1">SUM(H9:H11)</f>
        <v>#REF!</v>
      </c>
      <c r="I12" s="112"/>
    </row>
    <row r="13" spans="1:9" ht="25.5" customHeight="1">
      <c r="A13" s="112"/>
      <c r="B13" s="112"/>
      <c r="C13" s="112"/>
      <c r="D13" s="99"/>
      <c r="E13" s="112"/>
      <c r="F13" s="112"/>
      <c r="G13" s="112"/>
      <c r="H13" s="112"/>
      <c r="I13" s="112"/>
    </row>
    <row r="14" spans="1:9" ht="25.5" customHeight="1">
      <c r="A14" s="112"/>
      <c r="B14" s="112"/>
      <c r="C14" s="112"/>
      <c r="D14" s="99"/>
      <c r="E14" s="112"/>
      <c r="F14" s="112"/>
      <c r="G14" s="112"/>
      <c r="H14" s="112"/>
      <c r="I14" s="112"/>
    </row>
    <row r="15" spans="1:9" s="393" customFormat="1" ht="25.5" customHeight="1">
      <c r="A15" s="379" t="s">
        <v>541</v>
      </c>
      <c r="B15" s="392"/>
      <c r="C15" s="392"/>
      <c r="D15" s="392"/>
      <c r="E15" s="392"/>
      <c r="F15" s="392"/>
      <c r="G15" s="392"/>
      <c r="H15" s="392" t="e">
        <f ca="1">H6+H12</f>
        <v>#REF!</v>
      </c>
      <c r="I15" s="392"/>
    </row>
    <row r="16" spans="1:9" ht="25.5" customHeight="1"/>
    <row r="17" ht="25.5" customHeight="1"/>
    <row r="18" ht="25.5" customHeight="1"/>
  </sheetData>
  <phoneticPr fontId="4" type="noConversion"/>
  <pageMargins left="0.74803149606299213" right="0.74803149606299213" top="0.98425196850393704" bottom="0.98425196850393704" header="0.59055118110236227" footer="0.51181102362204722"/>
  <pageSetup paperSize="9" orientation="landscape" r:id="rId1"/>
  <headerFooter alignWithMargins="0">
    <oddHeader>&amp;C&amp;"굴림체,굵게"&amp;14스테인레스 중량산출서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M20"/>
  <sheetViews>
    <sheetView showZeros="0" view="pageBreakPreview" workbookViewId="0">
      <selection activeCell="A11" sqref="A11:M11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840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66">
    <tabColor indexed="57"/>
  </sheetPr>
  <dimension ref="A1:P26"/>
  <sheetViews>
    <sheetView showZeros="0" view="pageBreakPreview" zoomScaleSheetLayoutView="100" workbookViewId="0">
      <selection activeCell="B10" sqref="B10"/>
    </sheetView>
  </sheetViews>
  <sheetFormatPr defaultRowHeight="21" customHeight="1"/>
  <cols>
    <col min="1" max="2" width="19.77734375" style="161" customWidth="1"/>
    <col min="3" max="3" width="4.77734375" style="120" customWidth="1"/>
    <col min="4" max="4" width="6.77734375" style="375" customWidth="1"/>
    <col min="5" max="11" width="10.77734375" style="163" customWidth="1"/>
    <col min="12" max="12" width="8.5546875" style="376" customWidth="1"/>
    <col min="13" max="16384" width="8.88671875" style="162"/>
  </cols>
  <sheetData>
    <row r="1" spans="1:16" s="157" customFormat="1" ht="21.95" customHeight="1">
      <c r="A1" s="609" t="s">
        <v>841</v>
      </c>
      <c r="B1" s="609" t="s">
        <v>842</v>
      </c>
      <c r="C1" s="619" t="s">
        <v>843</v>
      </c>
      <c r="D1" s="678" t="s">
        <v>844</v>
      </c>
      <c r="E1" s="605" t="s">
        <v>845</v>
      </c>
      <c r="F1" s="605"/>
      <c r="G1" s="605" t="s">
        <v>846</v>
      </c>
      <c r="H1" s="605"/>
      <c r="I1" s="605" t="s">
        <v>847</v>
      </c>
      <c r="J1" s="605"/>
      <c r="K1" s="605" t="s">
        <v>848</v>
      </c>
      <c r="L1" s="677" t="s">
        <v>849</v>
      </c>
    </row>
    <row r="2" spans="1:16" s="157" customFormat="1" ht="21.95" customHeight="1">
      <c r="A2" s="609"/>
      <c r="B2" s="609"/>
      <c r="C2" s="620"/>
      <c r="D2" s="678"/>
      <c r="E2" s="97" t="s">
        <v>850</v>
      </c>
      <c r="F2" s="97" t="s">
        <v>374</v>
      </c>
      <c r="G2" s="97" t="s">
        <v>373</v>
      </c>
      <c r="H2" s="97" t="s">
        <v>374</v>
      </c>
      <c r="I2" s="97" t="s">
        <v>373</v>
      </c>
      <c r="J2" s="97" t="s">
        <v>374</v>
      </c>
      <c r="K2" s="605"/>
      <c r="L2" s="677"/>
    </row>
    <row r="3" spans="1:16" s="178" customFormat="1" ht="21.95" customHeight="1">
      <c r="A3" s="17" t="s">
        <v>858</v>
      </c>
      <c r="B3" s="17"/>
      <c r="C3" s="99"/>
      <c r="D3" s="18"/>
      <c r="E3" s="18"/>
      <c r="F3" s="18"/>
      <c r="G3" s="18"/>
      <c r="H3" s="18"/>
      <c r="I3" s="18"/>
      <c r="J3" s="18"/>
      <c r="K3" s="18"/>
      <c r="L3" s="99"/>
      <c r="M3" s="479" t="s">
        <v>851</v>
      </c>
      <c r="N3" s="479" t="s">
        <v>852</v>
      </c>
      <c r="O3" s="480" t="s">
        <v>853</v>
      </c>
      <c r="P3" s="480" t="s">
        <v>492</v>
      </c>
    </row>
    <row r="4" spans="1:16" s="178" customFormat="1" ht="21.95" customHeight="1">
      <c r="A4" s="474" t="s">
        <v>854</v>
      </c>
      <c r="B4" s="474" t="s">
        <v>855</v>
      </c>
      <c r="C4" s="481" t="s">
        <v>419</v>
      </c>
      <c r="D4" s="18" t="e">
        <f>내역서!#REF!+내역서!#REF!</f>
        <v>#REF!</v>
      </c>
      <c r="E4" s="475">
        <v>-100</v>
      </c>
      <c r="F4" s="18" t="e">
        <f>INT(D4*E4)</f>
        <v>#REF!</v>
      </c>
      <c r="G4" s="18"/>
      <c r="H4" s="18" t="e">
        <f>INT(D4*G4)</f>
        <v>#REF!</v>
      </c>
      <c r="I4" s="18"/>
      <c r="J4" s="18"/>
      <c r="K4" s="18" t="e">
        <f>SUM(F4+H4+J4)</f>
        <v>#REF!</v>
      </c>
      <c r="L4" s="99"/>
      <c r="M4" s="479">
        <v>128</v>
      </c>
      <c r="N4" s="479"/>
      <c r="O4" s="479"/>
      <c r="P4" s="479">
        <f>SUM(M4:O4)</f>
        <v>128</v>
      </c>
    </row>
    <row r="5" spans="1:16" s="178" customFormat="1" ht="21.95" customHeight="1">
      <c r="A5" s="474" t="s">
        <v>854</v>
      </c>
      <c r="B5" s="474" t="s">
        <v>856</v>
      </c>
      <c r="C5" s="481" t="s">
        <v>419</v>
      </c>
      <c r="D5" s="18" t="e">
        <f>내역서!#REF!</f>
        <v>#REF!</v>
      </c>
      <c r="E5" s="475">
        <v>-200</v>
      </c>
      <c r="F5" s="18" t="e">
        <f>INT(D5*E5)</f>
        <v>#REF!</v>
      </c>
      <c r="G5" s="18"/>
      <c r="H5" s="18" t="e">
        <f>INT(D5*G5)</f>
        <v>#REF!</v>
      </c>
      <c r="I5" s="18"/>
      <c r="J5" s="18"/>
      <c r="K5" s="18" t="e">
        <f>SUM(F5+H5+J5)</f>
        <v>#REF!</v>
      </c>
      <c r="L5" s="99"/>
      <c r="M5" s="479">
        <v>15</v>
      </c>
      <c r="N5" s="479"/>
      <c r="O5" s="479"/>
      <c r="P5" s="479">
        <f>SUM(M5:O5)</f>
        <v>15</v>
      </c>
    </row>
    <row r="6" spans="1:16" s="178" customFormat="1" ht="21.95" customHeight="1">
      <c r="A6" s="394"/>
      <c r="B6" s="374"/>
      <c r="C6" s="99"/>
      <c r="D6" s="22"/>
      <c r="E6" s="475"/>
      <c r="F6" s="475"/>
      <c r="G6" s="475"/>
      <c r="H6" s="475"/>
      <c r="I6" s="475"/>
      <c r="J6" s="475"/>
      <c r="K6" s="475"/>
      <c r="L6" s="477"/>
      <c r="M6" s="181"/>
    </row>
    <row r="7" spans="1:16" s="178" customFormat="1" ht="21.95" customHeight="1">
      <c r="A7" s="164" t="s">
        <v>857</v>
      </c>
      <c r="B7" s="165"/>
      <c r="C7" s="99"/>
      <c r="D7" s="22"/>
      <c r="E7" s="475"/>
      <c r="F7" s="475" t="e">
        <f>SUM(F4:F6)</f>
        <v>#REF!</v>
      </c>
      <c r="G7" s="475"/>
      <c r="H7" s="475" t="e">
        <f>SUM(H4:H6)</f>
        <v>#REF!</v>
      </c>
      <c r="I7" s="475"/>
      <c r="J7" s="475">
        <f>SUM(J4:J6)</f>
        <v>0</v>
      </c>
      <c r="K7" s="475" t="e">
        <f>SUM(F7+H7+J7)</f>
        <v>#REF!</v>
      </c>
      <c r="L7" s="477"/>
      <c r="M7" s="181"/>
    </row>
    <row r="8" spans="1:16" s="178" customFormat="1" ht="21.95" customHeight="1">
      <c r="A8" s="164"/>
      <c r="B8" s="165"/>
      <c r="C8" s="99"/>
      <c r="D8" s="22"/>
      <c r="E8" s="475"/>
      <c r="F8" s="475"/>
      <c r="G8" s="475"/>
      <c r="H8" s="475"/>
      <c r="I8" s="475"/>
      <c r="J8" s="475"/>
      <c r="K8" s="475"/>
      <c r="L8" s="477"/>
      <c r="M8" s="181"/>
    </row>
    <row r="9" spans="1:16" s="178" customFormat="1" ht="21.95" customHeight="1">
      <c r="A9" s="164"/>
      <c r="B9" s="165"/>
      <c r="C9" s="99"/>
      <c r="D9" s="22"/>
      <c r="E9" s="475"/>
      <c r="F9" s="475"/>
      <c r="G9" s="475"/>
      <c r="H9" s="475"/>
      <c r="I9" s="475"/>
      <c r="J9" s="475"/>
      <c r="K9" s="475"/>
      <c r="L9" s="477"/>
      <c r="M9" s="181"/>
    </row>
    <row r="10" spans="1:16" s="178" customFormat="1" ht="21.95" customHeight="1">
      <c r="A10" s="164"/>
      <c r="B10" s="165"/>
      <c r="C10" s="99"/>
      <c r="D10" s="22"/>
      <c r="E10" s="475"/>
      <c r="F10" s="475"/>
      <c r="G10" s="475"/>
      <c r="H10" s="475"/>
      <c r="I10" s="475"/>
      <c r="J10" s="475"/>
      <c r="K10" s="475"/>
      <c r="L10" s="477"/>
      <c r="M10" s="181"/>
    </row>
    <row r="11" spans="1:16" s="178" customFormat="1" ht="21.95" customHeight="1">
      <c r="A11" s="164"/>
      <c r="B11" s="165"/>
      <c r="C11" s="99"/>
      <c r="D11" s="22"/>
      <c r="E11" s="475"/>
      <c r="F11" s="475"/>
      <c r="G11" s="475"/>
      <c r="H11" s="475"/>
      <c r="I11" s="475"/>
      <c r="J11" s="475"/>
      <c r="K11" s="475"/>
      <c r="L11" s="477"/>
      <c r="M11" s="181"/>
    </row>
    <row r="12" spans="1:16" s="178" customFormat="1" ht="21.95" customHeight="1">
      <c r="A12" s="164"/>
      <c r="B12" s="165"/>
      <c r="C12" s="99"/>
      <c r="D12" s="22"/>
      <c r="E12" s="475"/>
      <c r="F12" s="475"/>
      <c r="G12" s="475"/>
      <c r="H12" s="475"/>
      <c r="I12" s="475"/>
      <c r="J12" s="475"/>
      <c r="K12" s="475"/>
      <c r="L12" s="477"/>
      <c r="M12" s="181"/>
    </row>
    <row r="13" spans="1:16" s="178" customFormat="1" ht="21.95" customHeight="1">
      <c r="A13" s="164"/>
      <c r="B13" s="165"/>
      <c r="C13" s="99"/>
      <c r="D13" s="22"/>
      <c r="E13" s="475"/>
      <c r="F13" s="475"/>
      <c r="G13" s="475"/>
      <c r="H13" s="475"/>
      <c r="I13" s="475"/>
      <c r="J13" s="475"/>
      <c r="K13" s="475"/>
      <c r="L13" s="477"/>
      <c r="M13" s="181"/>
    </row>
    <row r="14" spans="1:16" s="178" customFormat="1" ht="21.95" customHeight="1">
      <c r="A14" s="164"/>
      <c r="B14" s="165"/>
      <c r="C14" s="99"/>
      <c r="D14" s="22"/>
      <c r="E14" s="475"/>
      <c r="F14" s="475"/>
      <c r="G14" s="475"/>
      <c r="H14" s="475"/>
      <c r="I14" s="475"/>
      <c r="J14" s="475"/>
      <c r="K14" s="475"/>
      <c r="L14" s="477"/>
      <c r="M14" s="181"/>
    </row>
    <row r="15" spans="1:16" s="178" customFormat="1" ht="21.95" customHeight="1">
      <c r="A15" s="164"/>
      <c r="B15" s="165"/>
      <c r="C15" s="99"/>
      <c r="D15" s="22"/>
      <c r="E15" s="475"/>
      <c r="F15" s="475"/>
      <c r="G15" s="475"/>
      <c r="H15" s="475"/>
      <c r="I15" s="475"/>
      <c r="J15" s="475"/>
      <c r="K15" s="475"/>
      <c r="L15" s="477"/>
      <c r="M15" s="181"/>
    </row>
    <row r="16" spans="1:16" s="178" customFormat="1" ht="21.95" customHeight="1">
      <c r="A16" s="164"/>
      <c r="B16" s="165"/>
      <c r="C16" s="99"/>
      <c r="D16" s="22"/>
      <c r="E16" s="475"/>
      <c r="F16" s="475"/>
      <c r="G16" s="475"/>
      <c r="H16" s="475"/>
      <c r="I16" s="475"/>
      <c r="J16" s="475"/>
      <c r="K16" s="475"/>
      <c r="L16" s="477"/>
      <c r="M16" s="181"/>
    </row>
    <row r="17" spans="1:13" s="178" customFormat="1" ht="21.95" customHeight="1">
      <c r="A17" s="164"/>
      <c r="B17" s="165"/>
      <c r="C17" s="99"/>
      <c r="D17" s="22"/>
      <c r="E17" s="475"/>
      <c r="F17" s="475"/>
      <c r="G17" s="475"/>
      <c r="H17" s="475"/>
      <c r="I17" s="475"/>
      <c r="J17" s="475"/>
      <c r="K17" s="475"/>
      <c r="L17" s="477"/>
      <c r="M17" s="181"/>
    </row>
    <row r="18" spans="1:13" s="178" customFormat="1" ht="21.95" customHeight="1">
      <c r="A18" s="164"/>
      <c r="B18" s="165"/>
      <c r="C18" s="99"/>
      <c r="D18" s="22"/>
      <c r="E18" s="475"/>
      <c r="F18" s="475"/>
      <c r="G18" s="475"/>
      <c r="H18" s="475"/>
      <c r="I18" s="475"/>
      <c r="J18" s="475"/>
      <c r="K18" s="475"/>
      <c r="L18" s="477"/>
      <c r="M18" s="181"/>
    </row>
    <row r="19" spans="1:13" s="178" customFormat="1" ht="21.95" customHeight="1">
      <c r="A19" s="164"/>
      <c r="B19" s="165"/>
      <c r="C19" s="99"/>
      <c r="D19" s="22"/>
      <c r="E19" s="475"/>
      <c r="F19" s="475"/>
      <c r="G19" s="475"/>
      <c r="H19" s="475"/>
      <c r="I19" s="475"/>
      <c r="J19" s="475"/>
      <c r="K19" s="475"/>
      <c r="L19" s="477"/>
      <c r="M19" s="181"/>
    </row>
    <row r="20" spans="1:13" s="178" customFormat="1" ht="21.95" customHeight="1">
      <c r="A20" s="164"/>
      <c r="B20" s="165"/>
      <c r="C20" s="99"/>
      <c r="D20" s="22"/>
      <c r="E20" s="475"/>
      <c r="F20" s="475"/>
      <c r="G20" s="475"/>
      <c r="H20" s="475"/>
      <c r="I20" s="475"/>
      <c r="J20" s="475"/>
      <c r="K20" s="475"/>
      <c r="L20" s="477"/>
      <c r="M20" s="181"/>
    </row>
    <row r="21" spans="1:13" s="178" customFormat="1" ht="21.95" customHeight="1">
      <c r="A21" s="164"/>
      <c r="B21" s="165"/>
      <c r="C21" s="99"/>
      <c r="D21" s="22"/>
      <c r="E21" s="475"/>
      <c r="F21" s="475"/>
      <c r="G21" s="475"/>
      <c r="H21" s="475"/>
      <c r="I21" s="475"/>
      <c r="J21" s="475"/>
      <c r="K21" s="475"/>
      <c r="L21" s="477"/>
      <c r="M21" s="181"/>
    </row>
    <row r="22" spans="1:13" s="178" customFormat="1" ht="21.95" customHeight="1">
      <c r="A22" s="164"/>
      <c r="B22" s="165"/>
      <c r="C22" s="99"/>
      <c r="D22" s="22"/>
      <c r="E22" s="475"/>
      <c r="F22" s="475"/>
      <c r="G22" s="475"/>
      <c r="H22" s="475"/>
      <c r="I22" s="475"/>
      <c r="J22" s="475"/>
      <c r="K22" s="475"/>
      <c r="L22" s="477"/>
      <c r="M22" s="181"/>
    </row>
    <row r="23" spans="1:13" s="178" customFormat="1" ht="21.95" customHeight="1">
      <c r="A23" s="164"/>
      <c r="B23" s="165"/>
      <c r="C23" s="99"/>
      <c r="D23" s="22"/>
      <c r="E23" s="475"/>
      <c r="F23" s="475"/>
      <c r="G23" s="475"/>
      <c r="H23" s="475"/>
      <c r="I23" s="475"/>
      <c r="J23" s="475"/>
      <c r="K23" s="475"/>
      <c r="L23" s="477"/>
      <c r="M23" s="181"/>
    </row>
    <row r="24" spans="1:13" s="178" customFormat="1" ht="21.95" customHeight="1">
      <c r="A24" s="164"/>
      <c r="B24" s="165"/>
      <c r="C24" s="99"/>
      <c r="D24" s="22"/>
      <c r="E24" s="475"/>
      <c r="F24" s="475"/>
      <c r="G24" s="475"/>
      <c r="H24" s="475"/>
      <c r="I24" s="475"/>
      <c r="J24" s="475"/>
      <c r="K24" s="475"/>
      <c r="L24" s="477"/>
      <c r="M24" s="181"/>
    </row>
    <row r="25" spans="1:13" s="178" customFormat="1" ht="21.95" customHeight="1">
      <c r="A25" s="164"/>
      <c r="B25" s="165"/>
      <c r="C25" s="99"/>
      <c r="D25" s="22"/>
      <c r="E25" s="475"/>
      <c r="F25" s="475"/>
      <c r="G25" s="475"/>
      <c r="H25" s="475"/>
      <c r="I25" s="475"/>
      <c r="J25" s="475"/>
      <c r="K25" s="475"/>
      <c r="L25" s="477"/>
      <c r="M25" s="181"/>
    </row>
    <row r="26" spans="1:13" s="178" customFormat="1" ht="21.95" customHeight="1">
      <c r="A26" s="394"/>
      <c r="B26" s="374"/>
      <c r="C26" s="99"/>
      <c r="D26" s="22"/>
      <c r="E26" s="475"/>
      <c r="F26" s="475"/>
      <c r="G26" s="475"/>
      <c r="H26" s="475"/>
      <c r="I26" s="475"/>
      <c r="J26" s="475"/>
      <c r="K26" s="475"/>
      <c r="L26" s="477"/>
      <c r="M26" s="181"/>
    </row>
  </sheetData>
  <mergeCells count="9"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&amp;C&amp;"굴림체,굵게"&amp;14작  업  부  산  물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138">
    <tabColor rgb="FFFF0000"/>
  </sheetPr>
  <dimension ref="A1:V49"/>
  <sheetViews>
    <sheetView showZeros="0" view="pageBreakPreview" zoomScaleSheetLayoutView="100" workbookViewId="0">
      <pane xSplit="3" ySplit="3" topLeftCell="D4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6.77734375" style="162" customWidth="1"/>
    <col min="22" max="22" width="4.77734375" style="162" customWidth="1"/>
    <col min="23" max="16384" width="8.88671875" style="162"/>
  </cols>
  <sheetData>
    <row r="1" spans="1:21" ht="21.95" customHeight="1">
      <c r="A1" s="676" t="str">
        <f>'3.동력(산)'!A1</f>
        <v xml:space="preserve">3. 기계실,조리실 동력간선설비공사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117"/>
    </row>
    <row r="2" spans="1:21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16" t="s">
        <v>146</v>
      </c>
      <c r="R2" s="616"/>
      <c r="S2" s="616" t="s">
        <v>90</v>
      </c>
      <c r="T2" s="616"/>
      <c r="U2" s="616" t="s">
        <v>309</v>
      </c>
    </row>
    <row r="3" spans="1:21" ht="21.95" customHeight="1">
      <c r="A3" s="616"/>
      <c r="B3" s="616"/>
      <c r="C3" s="616"/>
      <c r="D3" s="101" t="s">
        <v>1495</v>
      </c>
      <c r="E3" s="106" t="s">
        <v>1670</v>
      </c>
      <c r="F3" s="106" t="s">
        <v>1671</v>
      </c>
      <c r="G3" s="101" t="s">
        <v>1672</v>
      </c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616"/>
    </row>
    <row r="4" spans="1:21" ht="21.95" customHeight="1">
      <c r="A4" s="110" t="s">
        <v>588</v>
      </c>
      <c r="B4" s="123" t="s">
        <v>1494</v>
      </c>
      <c r="C4" s="497" t="s">
        <v>407</v>
      </c>
      <c r="D4" s="84">
        <f ca="1">SUM(SUMIF('3.동력(산)'!$C$3:$C$72,B4,'3.동력(산)'!$K$3:$K$72),SUMIF('3.동력(산)'!$E$3:$E$72,B4,'3.동력(산)'!$L$3:$L$72),SUMIF('3.동력(산)'!$G$3:$G$72,B4,'3.동력(산)'!$J$3:$J$72))</f>
        <v>5.5</v>
      </c>
      <c r="E4" s="84"/>
      <c r="F4" s="84"/>
      <c r="G4" s="84"/>
      <c r="H4" s="84"/>
      <c r="I4" s="84"/>
      <c r="J4" s="112">
        <f t="shared" ref="J4:J5" ca="1" si="0">SUM(D4:I4)</f>
        <v>5.5</v>
      </c>
      <c r="K4" s="85">
        <v>0.1</v>
      </c>
      <c r="L4" s="22">
        <f t="shared" ref="L4:L5" ca="1" si="1">ROUND(J4+(J4*K4),0)</f>
        <v>6</v>
      </c>
      <c r="M4" s="86">
        <f>0.11*0.9</f>
        <v>9.9000000000000005E-2</v>
      </c>
      <c r="N4" s="22">
        <f t="shared" ref="N4:T34" ca="1" si="2">ROUNDDOWN($J4*M4,4)</f>
        <v>0.54449999999999998</v>
      </c>
      <c r="O4" s="86"/>
      <c r="P4" s="22">
        <f t="shared" ca="1" si="2"/>
        <v>0</v>
      </c>
      <c r="Q4" s="86"/>
      <c r="R4" s="22">
        <f t="shared" ca="1" si="2"/>
        <v>0</v>
      </c>
      <c r="S4" s="86"/>
      <c r="T4" s="22">
        <f t="shared" ca="1" si="2"/>
        <v>0</v>
      </c>
      <c r="U4" s="87" t="s">
        <v>1499</v>
      </c>
    </row>
    <row r="5" spans="1:21" ht="21.95" customHeight="1">
      <c r="A5" s="110" t="s">
        <v>1673</v>
      </c>
      <c r="B5" s="123" t="s">
        <v>1486</v>
      </c>
      <c r="C5" s="497" t="s">
        <v>407</v>
      </c>
      <c r="D5" s="84">
        <f ca="1">SUM(SUMIF('3.동력(산)'!$C$3:$C$72,B5,'3.동력(산)'!$K$3:$K$72),SUMIF('3.동력(산)'!$E$3:$E$72,B5,'3.동력(산)'!$L$3:$L$72),SUMIF('3.동력(산)'!$G$3:$G$72,B5,'3.동력(산)'!$J$3:$J$72))</f>
        <v>59.8</v>
      </c>
      <c r="E5" s="84"/>
      <c r="F5" s="84"/>
      <c r="G5" s="84"/>
      <c r="H5" s="84"/>
      <c r="I5" s="84"/>
      <c r="J5" s="112">
        <f t="shared" ca="1" si="0"/>
        <v>59.8</v>
      </c>
      <c r="K5" s="85">
        <v>0.1</v>
      </c>
      <c r="L5" s="22">
        <f t="shared" ca="1" si="1"/>
        <v>66</v>
      </c>
      <c r="M5" s="86">
        <f>0.14*0.9</f>
        <v>0.12600000000000003</v>
      </c>
      <c r="N5" s="22">
        <f t="shared" ca="1" si="2"/>
        <v>7.5347999999999997</v>
      </c>
      <c r="O5" s="86"/>
      <c r="P5" s="22">
        <f t="shared" ca="1" si="2"/>
        <v>0</v>
      </c>
      <c r="Q5" s="86"/>
      <c r="R5" s="22">
        <f t="shared" ca="1" si="2"/>
        <v>0</v>
      </c>
      <c r="S5" s="86"/>
      <c r="T5" s="22">
        <f t="shared" ca="1" si="2"/>
        <v>0</v>
      </c>
      <c r="U5" s="87" t="s">
        <v>1499</v>
      </c>
    </row>
    <row r="6" spans="1:21" ht="21.95" customHeight="1">
      <c r="A6" s="110" t="s">
        <v>588</v>
      </c>
      <c r="B6" s="123" t="s">
        <v>1480</v>
      </c>
      <c r="C6" s="497" t="s">
        <v>407</v>
      </c>
      <c r="D6" s="84">
        <f ca="1">SUM(SUMIF('3.동력(산)'!$C$3:$C$72,B6,'3.동력(산)'!$K$3:$K$72),SUMIF('3.동력(산)'!$E$3:$E$72,B6,'3.동력(산)'!$L$3:$L$72),SUMIF('3.동력(산)'!$G$3:$G$72,B6,'3.동력(산)'!$J$3:$J$72))</f>
        <v>22.5</v>
      </c>
      <c r="E6" s="84"/>
      <c r="F6" s="84"/>
      <c r="G6" s="498"/>
      <c r="H6" s="84"/>
      <c r="I6" s="84"/>
      <c r="J6" s="112">
        <f t="shared" ref="J6:J42" ca="1" si="3">SUM(D6:I6)</f>
        <v>22.5</v>
      </c>
      <c r="K6" s="85">
        <v>0.1</v>
      </c>
      <c r="L6" s="22">
        <f t="shared" ref="L6:L42" ca="1" si="4">ROUND(J6+(J6*K6),0)</f>
        <v>25</v>
      </c>
      <c r="M6" s="86">
        <f>0.2*0.9</f>
        <v>0.18000000000000002</v>
      </c>
      <c r="N6" s="22">
        <f t="shared" ca="1" si="2"/>
        <v>4.05</v>
      </c>
      <c r="O6" s="86"/>
      <c r="P6" s="22">
        <f t="shared" ca="1" si="2"/>
        <v>0</v>
      </c>
      <c r="Q6" s="86"/>
      <c r="R6" s="22">
        <f t="shared" ca="1" si="2"/>
        <v>0</v>
      </c>
      <c r="S6" s="86"/>
      <c r="T6" s="22">
        <f t="shared" ca="1" si="2"/>
        <v>0</v>
      </c>
      <c r="U6" s="87" t="s">
        <v>1499</v>
      </c>
    </row>
    <row r="7" spans="1:21" ht="21.95" customHeight="1">
      <c r="A7" s="110" t="s">
        <v>588</v>
      </c>
      <c r="B7" s="123" t="s">
        <v>1668</v>
      </c>
      <c r="C7" s="497" t="s">
        <v>407</v>
      </c>
      <c r="D7" s="84">
        <f ca="1">SUM(SUMIF('3.동력(산)'!$C$3:$C$72,B7,'3.동력(산)'!$K$3:$K$72),SUMIF('3.동력(산)'!$E$3:$E$72,B7,'3.동력(산)'!$L$3:$L$72),SUMIF('3.동력(산)'!$G$3:$G$72,B7,'3.동력(산)'!$J$3:$J$72))</f>
        <v>3.5</v>
      </c>
      <c r="E7" s="84"/>
      <c r="F7" s="84"/>
      <c r="G7" s="498"/>
      <c r="H7" s="84"/>
      <c r="I7" s="84"/>
      <c r="J7" s="112">
        <f t="shared" ref="J7" ca="1" si="5">SUM(D7:I7)</f>
        <v>3.5</v>
      </c>
      <c r="K7" s="85">
        <v>0.1</v>
      </c>
      <c r="L7" s="22">
        <f t="shared" ref="L7" ca="1" si="6">ROUND(J7+(J7*K7),0)</f>
        <v>4</v>
      </c>
      <c r="M7" s="86">
        <f>0.34*0.9</f>
        <v>0.30600000000000005</v>
      </c>
      <c r="N7" s="22">
        <f t="shared" ref="N7" ca="1" si="7">ROUNDDOWN($J7*M7,4)</f>
        <v>1.071</v>
      </c>
      <c r="O7" s="86"/>
      <c r="P7" s="22">
        <f t="shared" ref="P7" ca="1" si="8">ROUNDDOWN($J7*O7,4)</f>
        <v>0</v>
      </c>
      <c r="Q7" s="86"/>
      <c r="R7" s="22">
        <f t="shared" ref="R7" ca="1" si="9">ROUNDDOWN($J7*Q7,4)</f>
        <v>0</v>
      </c>
      <c r="S7" s="86"/>
      <c r="T7" s="22">
        <f t="shared" ref="T7" ca="1" si="10">ROUNDDOWN($J7*S7,4)</f>
        <v>0</v>
      </c>
      <c r="U7" s="87" t="s">
        <v>102</v>
      </c>
    </row>
    <row r="8" spans="1:21" ht="21.95" customHeight="1">
      <c r="A8" s="110" t="s">
        <v>629</v>
      </c>
      <c r="B8" s="110" t="s">
        <v>1411</v>
      </c>
      <c r="C8" s="497" t="s">
        <v>407</v>
      </c>
      <c r="D8" s="84">
        <f ca="1">SUM(SUMIF('3.동력(산)'!$C$3:$C$72,B8,'3.동력(산)'!$K$3:$K$72),SUMIF('3.동력(산)'!$E$3:$E$72,B8,'3.동력(산)'!$L$3:$L$72),SUMIF('3.동력(산)'!$G$3:$G$72,B8,'3.동력(산)'!$J$3:$J$72))</f>
        <v>10</v>
      </c>
      <c r="E8" s="498"/>
      <c r="F8" s="498"/>
      <c r="G8" s="498"/>
      <c r="H8" s="84"/>
      <c r="I8" s="84"/>
      <c r="J8" s="112">
        <f t="shared" ca="1" si="3"/>
        <v>10</v>
      </c>
      <c r="K8" s="85">
        <v>0.1</v>
      </c>
      <c r="L8" s="22">
        <f t="shared" ca="1" si="4"/>
        <v>11</v>
      </c>
      <c r="M8" s="86">
        <f>0.044*0.9</f>
        <v>3.9599999999999996E-2</v>
      </c>
      <c r="N8" s="22">
        <f t="shared" ca="1" si="2"/>
        <v>0.39600000000000002</v>
      </c>
      <c r="O8" s="86"/>
      <c r="P8" s="22">
        <f t="shared" ca="1" si="2"/>
        <v>0</v>
      </c>
      <c r="Q8" s="86"/>
      <c r="R8" s="22">
        <f t="shared" ca="1" si="2"/>
        <v>0</v>
      </c>
      <c r="S8" s="86"/>
      <c r="T8" s="22">
        <f t="shared" ca="1" si="2"/>
        <v>0</v>
      </c>
      <c r="U8" s="87" t="s">
        <v>1499</v>
      </c>
    </row>
    <row r="9" spans="1:21" ht="21.95" customHeight="1">
      <c r="A9" s="110" t="s">
        <v>629</v>
      </c>
      <c r="B9" s="110" t="s">
        <v>1506</v>
      </c>
      <c r="C9" s="497" t="s">
        <v>407</v>
      </c>
      <c r="D9" s="84">
        <f ca="1">SUM(SUMIF('3.동력(산)'!$C$3:$C$72,B9,'3.동력(산)'!$K$3:$K$72),SUMIF('3.동력(산)'!$E$3:$E$72,B9,'3.동력(산)'!$L$3:$L$72),SUMIF('3.동력(산)'!$G$3:$G$72,B9,'3.동력(산)'!$J$3:$J$72))</f>
        <v>55</v>
      </c>
      <c r="E9" s="84"/>
      <c r="F9" s="84"/>
      <c r="G9" s="498"/>
      <c r="H9" s="84"/>
      <c r="I9" s="84"/>
      <c r="J9" s="112">
        <f t="shared" ca="1" si="3"/>
        <v>55</v>
      </c>
      <c r="K9" s="85">
        <v>0.1</v>
      </c>
      <c r="L9" s="22">
        <f t="shared" ca="1" si="4"/>
        <v>61</v>
      </c>
      <c r="M9" s="86">
        <f>0.072*0.9</f>
        <v>6.4799999999999996E-2</v>
      </c>
      <c r="N9" s="22">
        <f t="shared" ca="1" si="2"/>
        <v>3.5640000000000001</v>
      </c>
      <c r="O9" s="86"/>
      <c r="P9" s="22">
        <f t="shared" ca="1" si="2"/>
        <v>0</v>
      </c>
      <c r="Q9" s="86"/>
      <c r="R9" s="22">
        <f t="shared" ca="1" si="2"/>
        <v>0</v>
      </c>
      <c r="S9" s="86"/>
      <c r="T9" s="22">
        <f t="shared" ca="1" si="2"/>
        <v>0</v>
      </c>
      <c r="U9" s="87" t="s">
        <v>1499</v>
      </c>
    </row>
    <row r="10" spans="1:21" ht="21.95" customHeight="1">
      <c r="A10" s="110" t="s">
        <v>629</v>
      </c>
      <c r="B10" s="110" t="s">
        <v>1504</v>
      </c>
      <c r="C10" s="497" t="s">
        <v>407</v>
      </c>
      <c r="D10" s="84">
        <f ca="1">SUM(SUMIF('3.동력(산)'!$C$3:$C$72,B10,'3.동력(산)'!$K$3:$K$72),SUMIF('3.동력(산)'!$E$3:$E$72,B10,'3.동력(산)'!$L$3:$L$72),SUMIF('3.동력(산)'!$G$3:$G$72,B10,'3.동력(산)'!$J$3:$J$72))</f>
        <v>10</v>
      </c>
      <c r="E10" s="84"/>
      <c r="F10" s="84"/>
      <c r="G10" s="498"/>
      <c r="H10" s="84"/>
      <c r="I10" s="84"/>
      <c r="J10" s="112">
        <f t="shared" ca="1" si="3"/>
        <v>10</v>
      </c>
      <c r="K10" s="85">
        <v>0.1</v>
      </c>
      <c r="L10" s="22">
        <f t="shared" ca="1" si="4"/>
        <v>11</v>
      </c>
      <c r="M10" s="86">
        <f>0.087*0.9</f>
        <v>7.8299999999999995E-2</v>
      </c>
      <c r="N10" s="22">
        <f t="shared" ca="1" si="2"/>
        <v>0.78300000000000003</v>
      </c>
      <c r="O10" s="86"/>
      <c r="P10" s="22">
        <f t="shared" ca="1" si="2"/>
        <v>0</v>
      </c>
      <c r="Q10" s="86"/>
      <c r="R10" s="22">
        <f t="shared" ca="1" si="2"/>
        <v>0</v>
      </c>
      <c r="S10" s="86"/>
      <c r="T10" s="22">
        <f t="shared" ca="1" si="2"/>
        <v>0</v>
      </c>
      <c r="U10" s="87" t="s">
        <v>1499</v>
      </c>
    </row>
    <row r="11" spans="1:21" ht="21.95" customHeight="1">
      <c r="A11" s="110" t="s">
        <v>629</v>
      </c>
      <c r="B11" s="110" t="s">
        <v>1066</v>
      </c>
      <c r="C11" s="497" t="s">
        <v>407</v>
      </c>
      <c r="D11" s="84">
        <f ca="1">SUM(SUMIF('3.동력(산)'!$C$3:$C$72,B11,'3.동력(산)'!$K$3:$K$72),SUMIF('3.동력(산)'!$E$3:$E$72,B11,'3.동력(산)'!$L$3:$L$72),SUMIF('3.동력(산)'!$G$3:$G$72,B11,'3.동력(산)'!$J$3:$J$72))</f>
        <v>5</v>
      </c>
      <c r="E11" s="84"/>
      <c r="F11" s="84"/>
      <c r="G11" s="498"/>
      <c r="H11" s="84"/>
      <c r="I11" s="84"/>
      <c r="J11" s="112">
        <f t="shared" ref="J11" ca="1" si="11">SUM(D11:I11)</f>
        <v>5</v>
      </c>
      <c r="K11" s="85">
        <v>0.1</v>
      </c>
      <c r="L11" s="22">
        <f t="shared" ref="L11" ca="1" si="12">ROUND(J11+(J11*K11),0)</f>
        <v>6</v>
      </c>
      <c r="M11" s="86">
        <f>0.136*0.9</f>
        <v>0.12240000000000001</v>
      </c>
      <c r="N11" s="22">
        <f t="shared" ref="N11" ca="1" si="13">ROUNDDOWN($J11*M11,4)</f>
        <v>0.61199999999999999</v>
      </c>
      <c r="O11" s="86"/>
      <c r="P11" s="22">
        <f t="shared" ref="P11" ca="1" si="14">ROUNDDOWN($J11*O11,4)</f>
        <v>0</v>
      </c>
      <c r="Q11" s="86"/>
      <c r="R11" s="22">
        <f t="shared" ref="R11" ca="1" si="15">ROUNDDOWN($J11*Q11,4)</f>
        <v>0</v>
      </c>
      <c r="S11" s="86"/>
      <c r="T11" s="22">
        <f t="shared" ref="T11" ca="1" si="16">ROUNDDOWN($J11*S11,4)</f>
        <v>0</v>
      </c>
      <c r="U11" s="87" t="s">
        <v>102</v>
      </c>
    </row>
    <row r="12" spans="1:21" ht="21.95" customHeight="1">
      <c r="A12" s="110" t="s">
        <v>1550</v>
      </c>
      <c r="B12" s="123" t="s">
        <v>1025</v>
      </c>
      <c r="C12" s="497" t="s">
        <v>407</v>
      </c>
      <c r="D12" s="84">
        <f ca="1">SUM(SUMIF('3.동력(산)'!$C$3:$C$72,B12,'3.동력(산)'!$K$3:$K$72),SUMIF('3.동력(산)'!$E$3:$E$72,B12,'3.동력(산)'!$L$3:$L$72),SUMIF('3.동력(산)'!$G$3:$G$72,B12,'3.동력(산)'!$J$3:$J$72))</f>
        <v>306.7</v>
      </c>
      <c r="E12" s="498"/>
      <c r="F12" s="498"/>
      <c r="G12" s="498"/>
      <c r="H12" s="84"/>
      <c r="I12" s="84"/>
      <c r="J12" s="112">
        <f t="shared" ref="J12:J13" ca="1" si="17">SUM(D12:I12)</f>
        <v>306.7</v>
      </c>
      <c r="K12" s="85">
        <v>0.1</v>
      </c>
      <c r="L12" s="22">
        <f t="shared" ref="L12:L13" ca="1" si="18">ROUND(J12+(J12*K12),0)</f>
        <v>337</v>
      </c>
      <c r="M12" s="86">
        <f>0.05*0.8*0.9</f>
        <v>3.6000000000000011E-2</v>
      </c>
      <c r="N12" s="22">
        <f t="shared" ref="N12:N13" ca="1" si="19">ROUNDDOWN($J12*M12,4)</f>
        <v>11.0412</v>
      </c>
      <c r="O12" s="86"/>
      <c r="P12" s="22">
        <f t="shared" ref="P12:P13" ca="1" si="20">ROUNDDOWN($J12*O12,4)</f>
        <v>0</v>
      </c>
      <c r="Q12" s="86"/>
      <c r="R12" s="22">
        <f t="shared" ref="R12:R13" ca="1" si="21">ROUNDDOWN($J12*Q12,4)</f>
        <v>0</v>
      </c>
      <c r="S12" s="86"/>
      <c r="T12" s="22">
        <f t="shared" ref="T12:T13" ca="1" si="22">ROUNDDOWN($J12*S12,4)</f>
        <v>0</v>
      </c>
      <c r="U12" s="87" t="s">
        <v>102</v>
      </c>
    </row>
    <row r="13" spans="1:21" ht="21.95" customHeight="1">
      <c r="A13" s="110" t="s">
        <v>1550</v>
      </c>
      <c r="B13" s="123" t="s">
        <v>1391</v>
      </c>
      <c r="C13" s="497" t="s">
        <v>407</v>
      </c>
      <c r="D13" s="84">
        <f ca="1">SUM(SUMIF('3.동력(산)'!$C$3:$C$72,B13,'3.동력(산)'!$K$3:$K$72),SUMIF('3.동력(산)'!$E$3:$E$72,B13,'3.동력(산)'!$L$3:$L$72),SUMIF('3.동력(산)'!$G$3:$G$72,B13,'3.동력(산)'!$J$3:$J$72))</f>
        <v>102.1</v>
      </c>
      <c r="E13" s="84"/>
      <c r="F13" s="84"/>
      <c r="G13" s="498"/>
      <c r="H13" s="84"/>
      <c r="I13" s="84"/>
      <c r="J13" s="112">
        <f t="shared" ca="1" si="17"/>
        <v>102.1</v>
      </c>
      <c r="K13" s="85">
        <v>0.1</v>
      </c>
      <c r="L13" s="22">
        <f t="shared" ca="1" si="18"/>
        <v>112</v>
      </c>
      <c r="M13" s="86">
        <f>0.08*0.8*0.9</f>
        <v>5.7600000000000005E-2</v>
      </c>
      <c r="N13" s="22">
        <f t="shared" ca="1" si="19"/>
        <v>5.8808999999999996</v>
      </c>
      <c r="O13" s="86"/>
      <c r="P13" s="22">
        <f t="shared" ca="1" si="20"/>
        <v>0</v>
      </c>
      <c r="Q13" s="86"/>
      <c r="R13" s="22">
        <f t="shared" ca="1" si="21"/>
        <v>0</v>
      </c>
      <c r="S13" s="86"/>
      <c r="T13" s="22">
        <f t="shared" ca="1" si="22"/>
        <v>0</v>
      </c>
      <c r="U13" s="87" t="s">
        <v>102</v>
      </c>
    </row>
    <row r="14" spans="1:21" ht="21.95" customHeight="1">
      <c r="A14" s="110" t="s">
        <v>386</v>
      </c>
      <c r="B14" s="123" t="s">
        <v>1491</v>
      </c>
      <c r="C14" s="497" t="s">
        <v>407</v>
      </c>
      <c r="D14" s="84">
        <f ca="1">SUM(SUMIF('3.동력(산)'!$C$3:$C$72,B14,'3.동력(산)'!$K$3:$K$72),SUMIF('3.동력(산)'!$E$3:$E$72,B14,'3.동력(산)'!$L$3:$L$72),SUMIF('3.동력(산)'!$G$3:$G$72,B14,'3.동력(산)'!$J$3:$J$72))</f>
        <v>138.5</v>
      </c>
      <c r="E14" s="498"/>
      <c r="F14" s="498"/>
      <c r="G14" s="498"/>
      <c r="H14" s="84"/>
      <c r="I14" s="84"/>
      <c r="J14" s="112">
        <f t="shared" ca="1" si="3"/>
        <v>138.5</v>
      </c>
      <c r="K14" s="85">
        <v>0.1</v>
      </c>
      <c r="L14" s="22">
        <f t="shared" ca="1" si="4"/>
        <v>152</v>
      </c>
      <c r="M14" s="86">
        <f>0.006*1.5</f>
        <v>9.0000000000000011E-3</v>
      </c>
      <c r="N14" s="22">
        <f t="shared" ca="1" si="2"/>
        <v>1.2464999999999999</v>
      </c>
      <c r="O14" s="86"/>
      <c r="P14" s="22">
        <f t="shared" ca="1" si="2"/>
        <v>0</v>
      </c>
      <c r="Q14" s="86"/>
      <c r="R14" s="22">
        <f t="shared" ca="1" si="2"/>
        <v>0</v>
      </c>
      <c r="S14" s="86"/>
      <c r="T14" s="22">
        <f t="shared" ca="1" si="2"/>
        <v>0</v>
      </c>
      <c r="U14" s="87" t="s">
        <v>1500</v>
      </c>
    </row>
    <row r="15" spans="1:21" ht="21.95" customHeight="1">
      <c r="A15" s="110" t="s">
        <v>386</v>
      </c>
      <c r="B15" s="123" t="s">
        <v>1485</v>
      </c>
      <c r="C15" s="497" t="s">
        <v>407</v>
      </c>
      <c r="D15" s="84">
        <f ca="1">SUM(SUMIF('3.동력(산)'!$C$3:$C$72,B15,'3.동력(산)'!$K$3:$K$72),SUMIF('3.동력(산)'!$E$3:$E$72,B15,'3.동력(산)'!$L$3:$L$72),SUMIF('3.동력(산)'!$G$3:$G$72,B15,'3.동력(산)'!$J$3:$J$72))</f>
        <v>114.3</v>
      </c>
      <c r="E15" s="498"/>
      <c r="F15" s="498"/>
      <c r="G15" s="498"/>
      <c r="H15" s="498"/>
      <c r="I15" s="84"/>
      <c r="J15" s="112">
        <f t="shared" ca="1" si="3"/>
        <v>114.3</v>
      </c>
      <c r="K15" s="85">
        <v>0.1</v>
      </c>
      <c r="L15" s="22">
        <f t="shared" ca="1" si="4"/>
        <v>126</v>
      </c>
      <c r="M15" s="86">
        <f>0.006*1.5</f>
        <v>9.0000000000000011E-3</v>
      </c>
      <c r="N15" s="22">
        <f t="shared" ca="1" si="2"/>
        <v>1.0286999999999999</v>
      </c>
      <c r="O15" s="86"/>
      <c r="P15" s="22">
        <f t="shared" ca="1" si="2"/>
        <v>0</v>
      </c>
      <c r="Q15" s="86"/>
      <c r="R15" s="22">
        <f t="shared" ca="1" si="2"/>
        <v>0</v>
      </c>
      <c r="S15" s="86"/>
      <c r="T15" s="22">
        <f t="shared" ca="1" si="2"/>
        <v>0</v>
      </c>
      <c r="U15" s="87" t="s">
        <v>1500</v>
      </c>
    </row>
    <row r="16" spans="1:21" ht="21.95" customHeight="1">
      <c r="A16" s="110" t="s">
        <v>386</v>
      </c>
      <c r="B16" s="123" t="s">
        <v>582</v>
      </c>
      <c r="C16" s="497" t="s">
        <v>407</v>
      </c>
      <c r="D16" s="84">
        <f ca="1">SUM(SUMIF('3.동력(산)'!$C$3:$C$72,B16,'3.동력(산)'!$K$3:$K$72),SUMIF('3.동력(산)'!$E$3:$E$72,B16,'3.동력(산)'!$L$3:$L$72),SUMIF('3.동력(산)'!$G$3:$G$72,B16,'3.동력(산)'!$J$3:$J$72))</f>
        <v>114.10000000000001</v>
      </c>
      <c r="E16" s="498"/>
      <c r="F16" s="498"/>
      <c r="G16" s="498"/>
      <c r="H16" s="498"/>
      <c r="I16" s="84"/>
      <c r="J16" s="112">
        <f t="shared" ref="J16" ca="1" si="23">SUM(D16:I16)</f>
        <v>114.10000000000001</v>
      </c>
      <c r="K16" s="85">
        <v>0.1</v>
      </c>
      <c r="L16" s="22">
        <f t="shared" ref="L16" ca="1" si="24">ROUND(J16+(J16*K16),0)</f>
        <v>126</v>
      </c>
      <c r="M16" s="86">
        <f>0.006*1.5</f>
        <v>9.0000000000000011E-3</v>
      </c>
      <c r="N16" s="22">
        <f t="shared" ref="N16" ca="1" si="25">ROUNDDOWN($J16*M16,4)</f>
        <v>1.0268999999999999</v>
      </c>
      <c r="O16" s="86"/>
      <c r="P16" s="22">
        <f t="shared" ref="P16" ca="1" si="26">ROUNDDOWN($J16*O16,4)</f>
        <v>0</v>
      </c>
      <c r="Q16" s="86"/>
      <c r="R16" s="22">
        <f t="shared" ref="R16" ca="1" si="27">ROUNDDOWN($J16*Q16,4)</f>
        <v>0</v>
      </c>
      <c r="S16" s="86"/>
      <c r="T16" s="22">
        <f t="shared" ref="T16" ca="1" si="28">ROUNDDOWN($J16*S16,4)</f>
        <v>0</v>
      </c>
      <c r="U16" s="87" t="s">
        <v>961</v>
      </c>
    </row>
    <row r="17" spans="1:21" ht="21.95" customHeight="1">
      <c r="A17" s="110" t="s">
        <v>386</v>
      </c>
      <c r="B17" s="123" t="s">
        <v>1479</v>
      </c>
      <c r="C17" s="497" t="s">
        <v>407</v>
      </c>
      <c r="D17" s="84">
        <f ca="1">SUM(SUMIF('3.동력(산)'!$C$3:$C$72,B17,'3.동력(산)'!$K$3:$K$72),SUMIF('3.동력(산)'!$E$3:$E$72,B17,'3.동력(산)'!$L$3:$L$72),SUMIF('3.동력(산)'!$G$3:$G$72,B17,'3.동력(산)'!$J$3:$J$72))</f>
        <v>19.5</v>
      </c>
      <c r="E17" s="498"/>
      <c r="F17" s="498"/>
      <c r="G17" s="498"/>
      <c r="H17" s="498"/>
      <c r="I17" s="84"/>
      <c r="J17" s="112">
        <f t="shared" ca="1" si="3"/>
        <v>19.5</v>
      </c>
      <c r="K17" s="85">
        <v>0.1</v>
      </c>
      <c r="L17" s="22">
        <f t="shared" ca="1" si="4"/>
        <v>21</v>
      </c>
      <c r="M17" s="86">
        <f>0.006*1.5</f>
        <v>9.0000000000000011E-3</v>
      </c>
      <c r="N17" s="22">
        <f t="shared" ca="1" si="2"/>
        <v>0.17549999999999999</v>
      </c>
      <c r="O17" s="86"/>
      <c r="P17" s="22">
        <f t="shared" ca="1" si="2"/>
        <v>0</v>
      </c>
      <c r="Q17" s="86"/>
      <c r="R17" s="22">
        <f t="shared" ca="1" si="2"/>
        <v>0</v>
      </c>
      <c r="S17" s="86"/>
      <c r="T17" s="22">
        <f t="shared" ca="1" si="2"/>
        <v>0</v>
      </c>
      <c r="U17" s="87" t="s">
        <v>1500</v>
      </c>
    </row>
    <row r="18" spans="1:21" ht="21.95" customHeight="1">
      <c r="A18" s="110" t="s">
        <v>391</v>
      </c>
      <c r="B18" s="123" t="s">
        <v>1401</v>
      </c>
      <c r="C18" s="497" t="s">
        <v>407</v>
      </c>
      <c r="D18" s="84">
        <f ca="1">SUM(SUMIF('3.동력(산)'!$C$3:$C$72,B18,'3.동력(산)'!$K$3:$K$72),SUMIF('3.동력(산)'!$E$3:$E$72,B18,'3.동력(산)'!$L$3:$L$72),SUMIF('3.동력(산)'!$G$3:$G$72,B18,'3.동력(산)'!$J$3:$J$72))</f>
        <v>60.3</v>
      </c>
      <c r="E18" s="498"/>
      <c r="F18" s="498"/>
      <c r="G18" s="498"/>
      <c r="H18" s="498"/>
      <c r="I18" s="84"/>
      <c r="J18" s="112">
        <f t="shared" ref="J18" ca="1" si="29">SUM(D18:I18)</f>
        <v>60.3</v>
      </c>
      <c r="K18" s="85">
        <v>0.05</v>
      </c>
      <c r="L18" s="22">
        <f t="shared" ref="L18" ca="1" si="30">ROUND(J18+(J18*K18),0)</f>
        <v>63</v>
      </c>
      <c r="M18" s="86"/>
      <c r="N18" s="22">
        <f t="shared" ref="N18" ca="1" si="31">ROUNDDOWN($J18*M18,4)</f>
        <v>0</v>
      </c>
      <c r="O18" s="86">
        <v>1.6E-2</v>
      </c>
      <c r="P18" s="22">
        <f t="shared" ref="P18" ca="1" si="32">ROUNDDOWN($J18*O18,4)</f>
        <v>0.96479999999999999</v>
      </c>
      <c r="Q18" s="86"/>
      <c r="R18" s="22">
        <f t="shared" ref="R18" ca="1" si="33">ROUNDDOWN($J18*Q18,4)</f>
        <v>0</v>
      </c>
      <c r="S18" s="86"/>
      <c r="T18" s="22">
        <f t="shared" ref="T18" ca="1" si="34">ROUNDDOWN($J18*S18,4)</f>
        <v>0</v>
      </c>
      <c r="U18" s="87" t="s">
        <v>963</v>
      </c>
    </row>
    <row r="19" spans="1:21" ht="21.95" customHeight="1">
      <c r="A19" s="110" t="s">
        <v>391</v>
      </c>
      <c r="B19" s="123" t="s">
        <v>1043</v>
      </c>
      <c r="C19" s="497" t="s">
        <v>407</v>
      </c>
      <c r="D19" s="84">
        <f ca="1">SUM(SUMIF('3.동력(산)'!$C$3:$C$72,B19,'3.동력(산)'!$K$3:$K$72),SUMIF('3.동력(산)'!$E$3:$E$72,B19,'3.동력(산)'!$L$3:$L$72),SUMIF('3.동력(산)'!$G$3:$G$72,B19,'3.동력(산)'!$J$3:$J$72))</f>
        <v>36.1</v>
      </c>
      <c r="E19" s="498"/>
      <c r="F19" s="498"/>
      <c r="G19" s="498"/>
      <c r="H19" s="498"/>
      <c r="I19" s="84"/>
      <c r="J19" s="112">
        <f t="shared" ref="J19" ca="1" si="35">SUM(D19:I19)</f>
        <v>36.1</v>
      </c>
      <c r="K19" s="85">
        <v>0.05</v>
      </c>
      <c r="L19" s="22">
        <f t="shared" ref="L19" ca="1" si="36">ROUND(J19+(J19*K19),0)</f>
        <v>38</v>
      </c>
      <c r="M19" s="86"/>
      <c r="N19" s="22">
        <f t="shared" ref="N19" ca="1" si="37">ROUNDDOWN($J19*M19,4)</f>
        <v>0</v>
      </c>
      <c r="O19" s="86">
        <v>1.7999999999999999E-2</v>
      </c>
      <c r="P19" s="22">
        <f t="shared" ref="P19" ca="1" si="38">ROUNDDOWN($J19*O19,4)</f>
        <v>0.64980000000000004</v>
      </c>
      <c r="Q19" s="86"/>
      <c r="R19" s="22">
        <f t="shared" ref="R19" ca="1" si="39">ROUNDDOWN($J19*Q19,4)</f>
        <v>0</v>
      </c>
      <c r="S19" s="86"/>
      <c r="T19" s="22">
        <f t="shared" ref="T19" ca="1" si="40">ROUNDDOWN($J19*S19,4)</f>
        <v>0</v>
      </c>
      <c r="U19" s="87" t="s">
        <v>963</v>
      </c>
    </row>
    <row r="20" spans="1:21" ht="21.95" customHeight="1">
      <c r="A20" s="110" t="s">
        <v>391</v>
      </c>
      <c r="B20" s="123" t="s">
        <v>1490</v>
      </c>
      <c r="C20" s="497" t="s">
        <v>407</v>
      </c>
      <c r="D20" s="84">
        <f ca="1">SUM(SUMIF('3.동력(산)'!$C$3:$C$72,B20,'3.동력(산)'!$K$3:$K$72),SUMIF('3.동력(산)'!$E$3:$E$72,B20,'3.동력(산)'!$L$3:$L$72),SUMIF('3.동력(산)'!$G$3:$G$72,B20,'3.동력(산)'!$J$3:$J$72))</f>
        <v>138.5</v>
      </c>
      <c r="E20" s="498"/>
      <c r="F20" s="498"/>
      <c r="G20" s="498"/>
      <c r="H20" s="498"/>
      <c r="I20" s="84"/>
      <c r="J20" s="112">
        <f t="shared" ca="1" si="3"/>
        <v>138.5</v>
      </c>
      <c r="K20" s="85">
        <v>0.05</v>
      </c>
      <c r="L20" s="22">
        <f t="shared" ca="1" si="4"/>
        <v>145</v>
      </c>
      <c r="M20" s="86"/>
      <c r="N20" s="22">
        <f t="shared" ca="1" si="2"/>
        <v>0</v>
      </c>
      <c r="O20" s="86">
        <v>1.9E-2</v>
      </c>
      <c r="P20" s="22">
        <f t="shared" ca="1" si="2"/>
        <v>2.6315</v>
      </c>
      <c r="Q20" s="86"/>
      <c r="R20" s="22">
        <f t="shared" ca="1" si="2"/>
        <v>0</v>
      </c>
      <c r="S20" s="86"/>
      <c r="T20" s="22">
        <f t="shared" ca="1" si="2"/>
        <v>0</v>
      </c>
      <c r="U20" s="87" t="s">
        <v>1501</v>
      </c>
    </row>
    <row r="21" spans="1:21" ht="21.95" customHeight="1">
      <c r="A21" s="110" t="s">
        <v>391</v>
      </c>
      <c r="B21" s="123" t="s">
        <v>608</v>
      </c>
      <c r="C21" s="497" t="s">
        <v>407</v>
      </c>
      <c r="D21" s="84">
        <f ca="1">SUM(SUMIF('3.동력(산)'!$C$3:$C$72,B21,'3.동력(산)'!$K$3:$K$72),SUMIF('3.동력(산)'!$E$3:$E$72,B21,'3.동력(산)'!$L$3:$L$72),SUMIF('3.동력(산)'!$G$3:$G$72,B21,'3.동력(산)'!$J$3:$J$72))</f>
        <v>56</v>
      </c>
      <c r="E21" s="498"/>
      <c r="F21" s="498"/>
      <c r="G21" s="498"/>
      <c r="H21" s="498"/>
      <c r="I21" s="84"/>
      <c r="J21" s="112">
        <f t="shared" ref="J21" ca="1" si="41">SUM(D21:I21)</f>
        <v>56</v>
      </c>
      <c r="K21" s="85">
        <v>0.05</v>
      </c>
      <c r="L21" s="22">
        <f t="shared" ref="L21" ca="1" si="42">ROUND(J21+(J21*K21),0)</f>
        <v>59</v>
      </c>
      <c r="M21" s="86"/>
      <c r="N21" s="22">
        <f t="shared" ref="N21" ca="1" si="43">ROUNDDOWN($J21*M21,4)</f>
        <v>0</v>
      </c>
      <c r="O21" s="86">
        <v>2.5999999999999999E-2</v>
      </c>
      <c r="P21" s="22">
        <f t="shared" ref="P21" ca="1" si="44">ROUNDDOWN($J21*O21,4)</f>
        <v>1.456</v>
      </c>
      <c r="Q21" s="86"/>
      <c r="R21" s="22">
        <f t="shared" ref="R21" ca="1" si="45">ROUNDDOWN($J21*Q21,4)</f>
        <v>0</v>
      </c>
      <c r="S21" s="86"/>
      <c r="T21" s="22">
        <f t="shared" ref="T21" ca="1" si="46">ROUNDDOWN($J21*S21,4)</f>
        <v>0</v>
      </c>
      <c r="U21" s="87" t="s">
        <v>963</v>
      </c>
    </row>
    <row r="22" spans="1:21" ht="21.95" customHeight="1">
      <c r="A22" s="110" t="s">
        <v>391</v>
      </c>
      <c r="B22" s="123" t="s">
        <v>1488</v>
      </c>
      <c r="C22" s="497" t="s">
        <v>407</v>
      </c>
      <c r="D22" s="84">
        <f ca="1">SUM(SUMIF('3.동력(산)'!$C$3:$C$72,B22,'3.동력(산)'!$K$3:$K$72),SUMIF('3.동력(산)'!$E$3:$E$72,B22,'3.동력(산)'!$L$3:$L$72),SUMIF('3.동력(산)'!$G$3:$G$72,B22,'3.동력(산)'!$J$3:$J$72))</f>
        <v>15.5</v>
      </c>
      <c r="E22" s="498"/>
      <c r="F22" s="498"/>
      <c r="G22" s="498"/>
      <c r="H22" s="498"/>
      <c r="I22" s="84"/>
      <c r="J22" s="112">
        <f t="shared" ca="1" si="3"/>
        <v>15.5</v>
      </c>
      <c r="K22" s="85">
        <v>0.05</v>
      </c>
      <c r="L22" s="22">
        <f t="shared" ca="1" si="4"/>
        <v>16</v>
      </c>
      <c r="M22" s="86"/>
      <c r="N22" s="22">
        <f t="shared" ca="1" si="2"/>
        <v>0</v>
      </c>
      <c r="O22" s="86">
        <v>2.9000000000000001E-2</v>
      </c>
      <c r="P22" s="22">
        <f t="shared" ca="1" si="2"/>
        <v>0.44950000000000001</v>
      </c>
      <c r="Q22" s="86"/>
      <c r="R22" s="22">
        <f t="shared" ca="1" si="2"/>
        <v>0</v>
      </c>
      <c r="S22" s="86"/>
      <c r="T22" s="22">
        <f t="shared" ca="1" si="2"/>
        <v>0</v>
      </c>
      <c r="U22" s="87" t="s">
        <v>1501</v>
      </c>
    </row>
    <row r="23" spans="1:21" ht="21.95" customHeight="1">
      <c r="A23" s="110" t="s">
        <v>391</v>
      </c>
      <c r="B23" s="123" t="s">
        <v>1510</v>
      </c>
      <c r="C23" s="497" t="s">
        <v>407</v>
      </c>
      <c r="D23" s="84">
        <f ca="1">SUM(SUMIF('3.동력(산)'!$C$3:$C$72,B23,'3.동력(산)'!$K$3:$K$72),SUMIF('3.동력(산)'!$E$3:$E$72,B23,'3.동력(산)'!$L$3:$L$72),SUMIF('3.동력(산)'!$G$3:$G$72,B23,'3.동력(산)'!$J$3:$J$72))</f>
        <v>22</v>
      </c>
      <c r="E23" s="498"/>
      <c r="F23" s="498"/>
      <c r="G23" s="498"/>
      <c r="H23" s="498"/>
      <c r="I23" s="84"/>
      <c r="J23" s="112">
        <f t="shared" ref="J23" ca="1" si="47">SUM(D23:I23)</f>
        <v>22</v>
      </c>
      <c r="K23" s="85">
        <v>0.05</v>
      </c>
      <c r="L23" s="22">
        <f t="shared" ref="L23" ca="1" si="48">ROUND(J23+(J23*K23),0)</f>
        <v>23</v>
      </c>
      <c r="M23" s="86"/>
      <c r="N23" s="22">
        <f t="shared" ref="N23" ca="1" si="49">ROUNDDOWN($J23*M23,4)</f>
        <v>0</v>
      </c>
      <c r="O23" s="86">
        <v>3.4000000000000002E-2</v>
      </c>
      <c r="P23" s="22">
        <f t="shared" ref="P23" ca="1" si="50">ROUNDDOWN($J23*O23,4)</f>
        <v>0.748</v>
      </c>
      <c r="Q23" s="86"/>
      <c r="R23" s="22">
        <f t="shared" ref="R23" ca="1" si="51">ROUNDDOWN($J23*Q23,4)</f>
        <v>0</v>
      </c>
      <c r="S23" s="86"/>
      <c r="T23" s="22">
        <f t="shared" ref="T23" ca="1" si="52">ROUNDDOWN($J23*S23,4)</f>
        <v>0</v>
      </c>
      <c r="U23" s="87" t="s">
        <v>963</v>
      </c>
    </row>
    <row r="24" spans="1:21" ht="21.95" customHeight="1">
      <c r="A24" s="110" t="s">
        <v>1502</v>
      </c>
      <c r="B24" s="123" t="s">
        <v>1487</v>
      </c>
      <c r="C24" s="497" t="s">
        <v>407</v>
      </c>
      <c r="D24" s="84">
        <f ca="1">SUM(SUMIF('3.동력(산)'!$C$3:$C$72,B24,'3.동력(산)'!$K$3:$K$72),SUMIF('3.동력(산)'!$E$3:$E$72,B24,'3.동력(산)'!$L$3:$L$72),SUMIF('3.동력(산)'!$G$3:$G$72,B24,'3.동력(산)'!$J$3:$J$72))</f>
        <v>21.5</v>
      </c>
      <c r="E24" s="498"/>
      <c r="F24" s="498"/>
      <c r="G24" s="498"/>
      <c r="H24" s="498"/>
      <c r="I24" s="84"/>
      <c r="J24" s="112">
        <f t="shared" ca="1" si="3"/>
        <v>21.5</v>
      </c>
      <c r="K24" s="85">
        <v>0.05</v>
      </c>
      <c r="L24" s="22">
        <f t="shared" ca="1" si="4"/>
        <v>23</v>
      </c>
      <c r="M24" s="86"/>
      <c r="N24" s="22">
        <f t="shared" ca="1" si="2"/>
        <v>0</v>
      </c>
      <c r="O24" s="86">
        <v>1.6E-2</v>
      </c>
      <c r="P24" s="22">
        <f t="shared" ca="1" si="2"/>
        <v>0.34399999999999997</v>
      </c>
      <c r="Q24" s="86"/>
      <c r="R24" s="22">
        <f t="shared" ca="1" si="2"/>
        <v>0</v>
      </c>
      <c r="S24" s="86"/>
      <c r="T24" s="22">
        <f t="shared" ca="1" si="2"/>
        <v>0</v>
      </c>
      <c r="U24" s="87" t="s">
        <v>1501</v>
      </c>
    </row>
    <row r="25" spans="1:21" ht="21.95" customHeight="1">
      <c r="A25" s="110" t="s">
        <v>1502</v>
      </c>
      <c r="B25" s="123" t="s">
        <v>1484</v>
      </c>
      <c r="C25" s="497" t="s">
        <v>407</v>
      </c>
      <c r="D25" s="84">
        <f ca="1">SUM(SUMIF('3.동력(산)'!$C$3:$C$72,B25,'3.동력(산)'!$K$3:$K$72),SUMIF('3.동력(산)'!$E$3:$E$72,B25,'3.동력(산)'!$L$3:$L$72),SUMIF('3.동력(산)'!$G$3:$G$72,B25,'3.동력(산)'!$J$3:$J$72))</f>
        <v>17</v>
      </c>
      <c r="E25" s="498"/>
      <c r="F25" s="498"/>
      <c r="G25" s="498"/>
      <c r="H25" s="84"/>
      <c r="I25" s="84"/>
      <c r="J25" s="112">
        <f t="shared" ca="1" si="3"/>
        <v>17</v>
      </c>
      <c r="K25" s="85">
        <v>0.05</v>
      </c>
      <c r="L25" s="22">
        <f t="shared" ca="1" si="4"/>
        <v>18</v>
      </c>
      <c r="M25" s="86"/>
      <c r="N25" s="22">
        <f t="shared" ca="1" si="2"/>
        <v>0</v>
      </c>
      <c r="O25" s="86">
        <v>2.1999999999999999E-2</v>
      </c>
      <c r="P25" s="22">
        <f t="shared" ca="1" si="2"/>
        <v>0.374</v>
      </c>
      <c r="Q25" s="86"/>
      <c r="R25" s="22">
        <f t="shared" ca="1" si="2"/>
        <v>0</v>
      </c>
      <c r="S25" s="86"/>
      <c r="T25" s="22">
        <f t="shared" ca="1" si="2"/>
        <v>0</v>
      </c>
      <c r="U25" s="87" t="s">
        <v>1501</v>
      </c>
    </row>
    <row r="26" spans="1:21" ht="21.95" customHeight="1">
      <c r="A26" s="110" t="s">
        <v>1502</v>
      </c>
      <c r="B26" s="123" t="s">
        <v>1478</v>
      </c>
      <c r="C26" s="497" t="s">
        <v>407</v>
      </c>
      <c r="D26" s="84">
        <f ca="1">SUM(SUMIF('3.동력(산)'!$C$3:$C$72,B26,'3.동력(산)'!$K$3:$K$72),SUMIF('3.동력(산)'!$E$3:$E$72,B26,'3.동력(산)'!$L$3:$L$72),SUMIF('3.동력(산)'!$G$3:$G$72,B26,'3.동력(산)'!$J$3:$J$72))</f>
        <v>19.5</v>
      </c>
      <c r="E26" s="498"/>
      <c r="F26" s="498"/>
      <c r="G26" s="498"/>
      <c r="H26" s="84"/>
      <c r="I26" s="84"/>
      <c r="J26" s="112">
        <f t="shared" ca="1" si="3"/>
        <v>19.5</v>
      </c>
      <c r="K26" s="85">
        <v>0.05</v>
      </c>
      <c r="L26" s="22">
        <f t="shared" ca="1" si="4"/>
        <v>20</v>
      </c>
      <c r="M26" s="86"/>
      <c r="N26" s="22">
        <f t="shared" ca="1" si="2"/>
        <v>0</v>
      </c>
      <c r="O26" s="86">
        <v>3.5999999999999997E-2</v>
      </c>
      <c r="P26" s="22">
        <f t="shared" ca="1" si="2"/>
        <v>0.70199999999999996</v>
      </c>
      <c r="Q26" s="86"/>
      <c r="R26" s="22">
        <f t="shared" ca="1" si="2"/>
        <v>0</v>
      </c>
      <c r="S26" s="86"/>
      <c r="T26" s="22">
        <f t="shared" ca="1" si="2"/>
        <v>0</v>
      </c>
      <c r="U26" s="87" t="s">
        <v>1501</v>
      </c>
    </row>
    <row r="27" spans="1:21" ht="21.95" customHeight="1">
      <c r="A27" s="110" t="s">
        <v>1416</v>
      </c>
      <c r="B27" s="123" t="s">
        <v>1493</v>
      </c>
      <c r="C27" s="497" t="s">
        <v>407</v>
      </c>
      <c r="D27" s="84">
        <f ca="1">SUM(SUMIF('3.동력(산)'!$C$3:$C$72,B27,'3.동력(산)'!$K$3:$K$72),SUMIF('3.동력(산)'!$E$3:$E$72,B27,'3.동력(산)'!$L$3:$L$72),SUMIF('3.동력(산)'!$G$3:$G$72,B27,'3.동력(산)'!$J$3:$J$72))</f>
        <v>26</v>
      </c>
      <c r="E27" s="498"/>
      <c r="F27" s="498"/>
      <c r="G27" s="498"/>
      <c r="H27" s="84"/>
      <c r="I27" s="84"/>
      <c r="J27" s="112">
        <f t="shared" ref="J27" ca="1" si="53">SUM(D27:I27)</f>
        <v>26</v>
      </c>
      <c r="K27" s="85">
        <v>0.05</v>
      </c>
      <c r="L27" s="22">
        <f t="shared" ref="L27" ca="1" si="54">ROUND(J27+(J27*K27),0)</f>
        <v>27</v>
      </c>
      <c r="M27" s="86"/>
      <c r="N27" s="22">
        <f t="shared" ref="N27" ca="1" si="55">ROUNDDOWN($J27*M27,4)</f>
        <v>0</v>
      </c>
      <c r="O27" s="86">
        <v>3.2000000000000001E-2</v>
      </c>
      <c r="P27" s="22">
        <f t="shared" ref="P27" ca="1" si="56">ROUNDDOWN($J27*O27,4)</f>
        <v>0.83199999999999996</v>
      </c>
      <c r="Q27" s="86"/>
      <c r="R27" s="22">
        <f t="shared" ref="R27" ca="1" si="57">ROUNDDOWN($J27*Q27,4)</f>
        <v>0</v>
      </c>
      <c r="S27" s="86"/>
      <c r="T27" s="22">
        <f t="shared" ref="T27" ca="1" si="58">ROUNDDOWN($J27*S27,4)</f>
        <v>0</v>
      </c>
      <c r="U27" s="87" t="s">
        <v>1501</v>
      </c>
    </row>
    <row r="28" spans="1:21" ht="21.95" customHeight="1">
      <c r="A28" s="110" t="s">
        <v>1243</v>
      </c>
      <c r="B28" s="123" t="s">
        <v>1664</v>
      </c>
      <c r="C28" s="497" t="s">
        <v>407</v>
      </c>
      <c r="D28" s="84">
        <f ca="1">SUM(SUMIF('3.동력(산)'!$C$3:$C$72,B28,'3.동력(산)'!$K$3:$K$72),SUMIF('3.동력(산)'!$E$3:$E$72,B28,'3.동력(산)'!$L$3:$L$72),SUMIF('3.동력(산)'!$G$3:$G$72,B28,'3.동력(산)'!$J$3:$J$72))</f>
        <v>131</v>
      </c>
      <c r="E28" s="498"/>
      <c r="F28" s="498"/>
      <c r="G28" s="498"/>
      <c r="H28" s="84"/>
      <c r="I28" s="84"/>
      <c r="J28" s="112">
        <f t="shared" ref="J28" ca="1" si="59">SUM(D28:I28)</f>
        <v>131</v>
      </c>
      <c r="K28" s="85">
        <v>0.05</v>
      </c>
      <c r="L28" s="22">
        <f t="shared" ref="L28" ca="1" si="60">ROUND(J28+(J28*K28),0)</f>
        <v>138</v>
      </c>
      <c r="M28" s="86">
        <v>0.01</v>
      </c>
      <c r="N28" s="22">
        <f t="shared" ref="N28" ca="1" si="61">ROUNDDOWN($J28*M28,4)</f>
        <v>1.31</v>
      </c>
      <c r="O28" s="86"/>
      <c r="P28" s="22">
        <f t="shared" ref="P28" ca="1" si="62">ROUNDDOWN($J28*O28,4)</f>
        <v>0</v>
      </c>
      <c r="Q28" s="86"/>
      <c r="R28" s="22">
        <f t="shared" ref="R28" ca="1" si="63">ROUNDDOWN($J28*Q28,4)</f>
        <v>0</v>
      </c>
      <c r="S28" s="86"/>
      <c r="T28" s="22">
        <f t="shared" ref="T28" ca="1" si="64">ROUNDDOWN($J28*S28,4)</f>
        <v>0</v>
      </c>
      <c r="U28" s="87" t="s">
        <v>96</v>
      </c>
    </row>
    <row r="29" spans="1:21" ht="21.95" customHeight="1">
      <c r="A29" s="110" t="s">
        <v>1243</v>
      </c>
      <c r="B29" s="123" t="s">
        <v>710</v>
      </c>
      <c r="C29" s="497" t="s">
        <v>407</v>
      </c>
      <c r="D29" s="84">
        <f ca="1">SUM(SUMIF('3.동력(산)'!$C$3:$C$72,B29,'3.동력(산)'!$K$3:$K$72),SUMIF('3.동력(산)'!$E$3:$E$72,B29,'3.동력(산)'!$L$3:$L$72),SUMIF('3.동력(산)'!$G$3:$G$72,B29,'3.동력(산)'!$J$3:$J$72))</f>
        <v>78.599999999999994</v>
      </c>
      <c r="E29" s="498"/>
      <c r="F29" s="498"/>
      <c r="G29" s="498"/>
      <c r="H29" s="84"/>
      <c r="I29" s="84"/>
      <c r="J29" s="112">
        <f t="shared" ref="J29" ca="1" si="65">SUM(D29:I29)</f>
        <v>78.599999999999994</v>
      </c>
      <c r="K29" s="85">
        <v>0.05</v>
      </c>
      <c r="L29" s="22">
        <f t="shared" ref="L29" ca="1" si="66">ROUND(J29+(J29*K29),0)</f>
        <v>83</v>
      </c>
      <c r="M29" s="86">
        <v>0.01</v>
      </c>
      <c r="N29" s="22">
        <f t="shared" ref="N29" ca="1" si="67">ROUNDDOWN($J29*M29,4)</f>
        <v>0.78600000000000003</v>
      </c>
      <c r="O29" s="86"/>
      <c r="P29" s="22">
        <f t="shared" ref="P29" ca="1" si="68">ROUNDDOWN($J29*O29,4)</f>
        <v>0</v>
      </c>
      <c r="Q29" s="86"/>
      <c r="R29" s="22">
        <f t="shared" ref="R29" ca="1" si="69">ROUNDDOWN($J29*Q29,4)</f>
        <v>0</v>
      </c>
      <c r="S29" s="86"/>
      <c r="T29" s="22">
        <f t="shared" ref="T29" ca="1" si="70">ROUNDDOWN($J29*S29,4)</f>
        <v>0</v>
      </c>
      <c r="U29" s="87" t="s">
        <v>963</v>
      </c>
    </row>
    <row r="30" spans="1:21" ht="21.95" customHeight="1">
      <c r="A30" s="110" t="s">
        <v>1243</v>
      </c>
      <c r="B30" s="123" t="s">
        <v>699</v>
      </c>
      <c r="C30" s="497" t="s">
        <v>407</v>
      </c>
      <c r="D30" s="84">
        <f ca="1">SUM(SUMIF('3.동력(산)'!$C$3:$C$72,B30,'3.동력(산)'!$K$3:$K$72),SUMIF('3.동력(산)'!$E$3:$E$72,B30,'3.동력(산)'!$L$3:$L$72),SUMIF('3.동력(산)'!$G$3:$G$72,B30,'3.동력(산)'!$J$3:$J$72))</f>
        <v>770.99999999999977</v>
      </c>
      <c r="E30" s="498"/>
      <c r="F30" s="498"/>
      <c r="G30" s="498"/>
      <c r="H30" s="84"/>
      <c r="I30" s="84"/>
      <c r="J30" s="112">
        <f t="shared" ref="J30" ca="1" si="71">SUM(D30:I30)</f>
        <v>770.99999999999977</v>
      </c>
      <c r="K30" s="85">
        <v>0.05</v>
      </c>
      <c r="L30" s="22">
        <f t="shared" ref="L30" ca="1" si="72">ROUND(J30+(J30*K30),0)</f>
        <v>810</v>
      </c>
      <c r="M30" s="86">
        <v>0.01</v>
      </c>
      <c r="N30" s="22">
        <f t="shared" ref="N30" ca="1" si="73">ROUNDDOWN($J30*M30,4)</f>
        <v>7.71</v>
      </c>
      <c r="O30" s="86"/>
      <c r="P30" s="22">
        <f t="shared" ref="P30" ca="1" si="74">ROUNDDOWN($J30*O30,4)</f>
        <v>0</v>
      </c>
      <c r="Q30" s="86"/>
      <c r="R30" s="22">
        <f t="shared" ref="R30" ca="1" si="75">ROUNDDOWN($J30*Q30,4)</f>
        <v>0</v>
      </c>
      <c r="S30" s="86"/>
      <c r="T30" s="22">
        <f t="shared" ref="T30" ca="1" si="76">ROUNDDOWN($J30*S30,4)</f>
        <v>0</v>
      </c>
      <c r="U30" s="87" t="s">
        <v>963</v>
      </c>
    </row>
    <row r="31" spans="1:21" ht="21.95" customHeight="1">
      <c r="A31" s="110" t="s">
        <v>463</v>
      </c>
      <c r="B31" s="110" t="s">
        <v>1496</v>
      </c>
      <c r="C31" s="492" t="s">
        <v>419</v>
      </c>
      <c r="D31" s="498">
        <v>3</v>
      </c>
      <c r="E31" s="498"/>
      <c r="F31" s="498">
        <v>11</v>
      </c>
      <c r="G31" s="498"/>
      <c r="H31" s="84"/>
      <c r="I31" s="84"/>
      <c r="J31" s="112">
        <f t="shared" si="3"/>
        <v>14</v>
      </c>
      <c r="K31" s="85"/>
      <c r="L31" s="22">
        <f t="shared" si="4"/>
        <v>14</v>
      </c>
      <c r="M31" s="86">
        <v>0.22</v>
      </c>
      <c r="N31" s="22">
        <f t="shared" si="2"/>
        <v>3.08</v>
      </c>
      <c r="O31" s="86"/>
      <c r="P31" s="22">
        <f t="shared" si="2"/>
        <v>0</v>
      </c>
      <c r="Q31" s="86"/>
      <c r="R31" s="22">
        <f t="shared" si="2"/>
        <v>0</v>
      </c>
      <c r="S31" s="86"/>
      <c r="T31" s="22">
        <f t="shared" si="2"/>
        <v>0</v>
      </c>
      <c r="U31" s="87" t="s">
        <v>1201</v>
      </c>
    </row>
    <row r="32" spans="1:21" ht="21.95" customHeight="1">
      <c r="A32" s="110" t="s">
        <v>1350</v>
      </c>
      <c r="B32" s="123" t="s">
        <v>1497</v>
      </c>
      <c r="C32" s="492" t="s">
        <v>594</v>
      </c>
      <c r="D32" s="498">
        <f ca="1">INT(D4/1.6)</f>
        <v>3</v>
      </c>
      <c r="E32" s="498"/>
      <c r="F32" s="498"/>
      <c r="G32" s="498"/>
      <c r="H32" s="84"/>
      <c r="I32" s="84"/>
      <c r="J32" s="112">
        <f t="shared" ca="1" si="3"/>
        <v>3</v>
      </c>
      <c r="K32" s="85"/>
      <c r="L32" s="22">
        <f t="shared" ca="1" si="4"/>
        <v>3</v>
      </c>
      <c r="M32" s="86"/>
      <c r="N32" s="22">
        <f t="shared" ca="1" si="2"/>
        <v>0</v>
      </c>
      <c r="O32" s="86"/>
      <c r="P32" s="22">
        <f t="shared" ca="1" si="2"/>
        <v>0</v>
      </c>
      <c r="Q32" s="86"/>
      <c r="R32" s="22">
        <f t="shared" ca="1" si="2"/>
        <v>0</v>
      </c>
      <c r="S32" s="86"/>
      <c r="T32" s="22">
        <f t="shared" ca="1" si="2"/>
        <v>0</v>
      </c>
      <c r="U32" s="87"/>
    </row>
    <row r="33" spans="1:21" ht="21.95" customHeight="1">
      <c r="A33" s="110" t="s">
        <v>1350</v>
      </c>
      <c r="B33" s="123" t="s">
        <v>1498</v>
      </c>
      <c r="C33" s="492" t="s">
        <v>594</v>
      </c>
      <c r="D33" s="498">
        <f ca="1">INT(D5/1.6)</f>
        <v>37</v>
      </c>
      <c r="E33" s="498"/>
      <c r="F33" s="498"/>
      <c r="G33" s="498"/>
      <c r="H33" s="84"/>
      <c r="I33" s="84"/>
      <c r="J33" s="112">
        <f t="shared" ca="1" si="3"/>
        <v>37</v>
      </c>
      <c r="K33" s="85"/>
      <c r="L33" s="22">
        <f t="shared" ca="1" si="4"/>
        <v>37</v>
      </c>
      <c r="M33" s="86"/>
      <c r="N33" s="22">
        <f t="shared" ca="1" si="2"/>
        <v>0</v>
      </c>
      <c r="O33" s="86"/>
      <c r="P33" s="22">
        <f t="shared" ca="1" si="2"/>
        <v>0</v>
      </c>
      <c r="Q33" s="86"/>
      <c r="R33" s="22">
        <f t="shared" ca="1" si="2"/>
        <v>0</v>
      </c>
      <c r="S33" s="86"/>
      <c r="T33" s="22">
        <f t="shared" ca="1" si="2"/>
        <v>0</v>
      </c>
      <c r="U33" s="87"/>
    </row>
    <row r="34" spans="1:21" ht="21.95" customHeight="1">
      <c r="A34" s="110" t="s">
        <v>1350</v>
      </c>
      <c r="B34" s="123" t="s">
        <v>457</v>
      </c>
      <c r="C34" s="492" t="s">
        <v>594</v>
      </c>
      <c r="D34" s="498">
        <f ca="1">INT(D6/1.6)</f>
        <v>14</v>
      </c>
      <c r="E34" s="498"/>
      <c r="F34" s="498"/>
      <c r="G34" s="498"/>
      <c r="H34" s="84"/>
      <c r="I34" s="84"/>
      <c r="J34" s="112">
        <f t="shared" ca="1" si="3"/>
        <v>14</v>
      </c>
      <c r="K34" s="85"/>
      <c r="L34" s="22">
        <f t="shared" ca="1" si="4"/>
        <v>14</v>
      </c>
      <c r="M34" s="86"/>
      <c r="N34" s="22">
        <f t="shared" ca="1" si="2"/>
        <v>0</v>
      </c>
      <c r="O34" s="86"/>
      <c r="P34" s="22">
        <f t="shared" ca="1" si="2"/>
        <v>0</v>
      </c>
      <c r="Q34" s="86"/>
      <c r="R34" s="22">
        <f t="shared" ca="1" si="2"/>
        <v>0</v>
      </c>
      <c r="S34" s="86"/>
      <c r="T34" s="22">
        <f t="shared" ca="1" si="2"/>
        <v>0</v>
      </c>
      <c r="U34" s="87"/>
    </row>
    <row r="35" spans="1:21" ht="21.95" customHeight="1">
      <c r="A35" s="110" t="s">
        <v>1350</v>
      </c>
      <c r="B35" s="123" t="s">
        <v>1669</v>
      </c>
      <c r="C35" s="492" t="s">
        <v>594</v>
      </c>
      <c r="D35" s="498">
        <f ca="1">INT(D7/1.6)</f>
        <v>2</v>
      </c>
      <c r="E35" s="498"/>
      <c r="F35" s="498"/>
      <c r="G35" s="498"/>
      <c r="H35" s="84"/>
      <c r="I35" s="84"/>
      <c r="J35" s="112">
        <f t="shared" ref="J35" ca="1" si="77">SUM(D35:I35)</f>
        <v>2</v>
      </c>
      <c r="K35" s="85"/>
      <c r="L35" s="22">
        <f t="shared" ref="L35" ca="1" si="78">ROUND(J35+(J35*K35),0)</f>
        <v>2</v>
      </c>
      <c r="M35" s="86"/>
      <c r="N35" s="22">
        <f t="shared" ref="N35" ca="1" si="79">ROUNDDOWN($J35*M35,4)</f>
        <v>0</v>
      </c>
      <c r="O35" s="86"/>
      <c r="P35" s="22">
        <f t="shared" ref="P35" ca="1" si="80">ROUNDDOWN($J35*O35,4)</f>
        <v>0</v>
      </c>
      <c r="Q35" s="86"/>
      <c r="R35" s="22">
        <f t="shared" ref="R35" ca="1" si="81">ROUNDDOWN($J35*Q35,4)</f>
        <v>0</v>
      </c>
      <c r="S35" s="86"/>
      <c r="T35" s="22">
        <f t="shared" ref="T35" ca="1" si="82">ROUNDDOWN($J35*S35,4)</f>
        <v>0</v>
      </c>
      <c r="U35" s="87"/>
    </row>
    <row r="36" spans="1:21" ht="21.95" customHeight="1">
      <c r="A36" s="110" t="s">
        <v>1455</v>
      </c>
      <c r="B36" s="123"/>
      <c r="C36" s="492" t="s">
        <v>594</v>
      </c>
      <c r="D36" s="498">
        <v>2</v>
      </c>
      <c r="E36" s="498"/>
      <c r="F36" s="498"/>
      <c r="G36" s="498"/>
      <c r="H36" s="84"/>
      <c r="I36" s="84"/>
      <c r="J36" s="112">
        <f t="shared" si="3"/>
        <v>2</v>
      </c>
      <c r="K36" s="85"/>
      <c r="L36" s="22">
        <f t="shared" si="4"/>
        <v>2</v>
      </c>
      <c r="M36" s="86"/>
      <c r="N36" s="22">
        <f t="shared" ref="N36:N42" si="83">ROUNDDOWN($J36*M36,4)</f>
        <v>0</v>
      </c>
      <c r="O36" s="86"/>
      <c r="P36" s="22">
        <f t="shared" ref="P36:P42" si="84">ROUNDDOWN($J36*O36,4)</f>
        <v>0</v>
      </c>
      <c r="Q36" s="86"/>
      <c r="R36" s="22">
        <f t="shared" ref="R36:R42" si="85">ROUNDDOWN($J36*Q36,4)</f>
        <v>0</v>
      </c>
      <c r="S36" s="86"/>
      <c r="T36" s="22">
        <f t="shared" ref="T36:T42" si="86">ROUNDDOWN($J36*S36,4)</f>
        <v>0</v>
      </c>
      <c r="U36" s="87"/>
    </row>
    <row r="37" spans="1:21" ht="21.95" customHeight="1">
      <c r="A37" s="110" t="s">
        <v>599</v>
      </c>
      <c r="B37" s="110" t="s">
        <v>1503</v>
      </c>
      <c r="C37" s="497" t="s">
        <v>419</v>
      </c>
      <c r="D37" s="84">
        <v>1</v>
      </c>
      <c r="E37" s="498"/>
      <c r="F37" s="498"/>
      <c r="G37" s="498"/>
      <c r="H37" s="84"/>
      <c r="I37" s="84"/>
      <c r="J37" s="112">
        <f t="shared" si="3"/>
        <v>1</v>
      </c>
      <c r="K37" s="85"/>
      <c r="L37" s="22">
        <f t="shared" si="4"/>
        <v>1</v>
      </c>
      <c r="M37" s="86"/>
      <c r="N37" s="22">
        <f t="shared" si="83"/>
        <v>0</v>
      </c>
      <c r="O37" s="86"/>
      <c r="P37" s="22">
        <f t="shared" si="84"/>
        <v>0</v>
      </c>
      <c r="Q37" s="86"/>
      <c r="R37" s="22">
        <f t="shared" si="85"/>
        <v>0</v>
      </c>
      <c r="S37" s="86"/>
      <c r="T37" s="22">
        <f t="shared" si="86"/>
        <v>0</v>
      </c>
      <c r="U37" s="87"/>
    </row>
    <row r="38" spans="1:21" ht="21.95" customHeight="1">
      <c r="A38" s="110" t="s">
        <v>509</v>
      </c>
      <c r="B38" s="110" t="s">
        <v>507</v>
      </c>
      <c r="C38" s="497" t="s">
        <v>419</v>
      </c>
      <c r="D38" s="498">
        <v>3</v>
      </c>
      <c r="E38" s="498"/>
      <c r="F38" s="498"/>
      <c r="G38" s="498"/>
      <c r="H38" s="84"/>
      <c r="I38" s="84"/>
      <c r="J38" s="112">
        <f t="shared" si="3"/>
        <v>3</v>
      </c>
      <c r="K38" s="85"/>
      <c r="L38" s="22">
        <f t="shared" si="4"/>
        <v>3</v>
      </c>
      <c r="M38" s="86">
        <v>0.08</v>
      </c>
      <c r="N38" s="22">
        <f t="shared" si="83"/>
        <v>0.24</v>
      </c>
      <c r="O38" s="86"/>
      <c r="P38" s="22">
        <f t="shared" si="84"/>
        <v>0</v>
      </c>
      <c r="Q38" s="86"/>
      <c r="R38" s="22">
        <f t="shared" si="85"/>
        <v>0</v>
      </c>
      <c r="S38" s="86"/>
      <c r="T38" s="22">
        <f t="shared" si="86"/>
        <v>0</v>
      </c>
      <c r="U38" s="87" t="s">
        <v>87</v>
      </c>
    </row>
    <row r="39" spans="1:21" ht="21.95" customHeight="1">
      <c r="A39" s="110" t="s">
        <v>522</v>
      </c>
      <c r="B39" s="110" t="s">
        <v>1334</v>
      </c>
      <c r="C39" s="497" t="s">
        <v>419</v>
      </c>
      <c r="D39" s="498"/>
      <c r="E39" s="498">
        <v>17</v>
      </c>
      <c r="F39" s="498">
        <v>17</v>
      </c>
      <c r="G39" s="498"/>
      <c r="H39" s="84"/>
      <c r="I39" s="84"/>
      <c r="J39" s="112">
        <f t="shared" ref="J39" si="87">SUM(D39:I39)</f>
        <v>34</v>
      </c>
      <c r="K39" s="85"/>
      <c r="L39" s="22">
        <f t="shared" ref="L39" si="88">ROUND(J39+(J39*K39),0)</f>
        <v>34</v>
      </c>
      <c r="M39" s="86">
        <v>0.08</v>
      </c>
      <c r="N39" s="22">
        <f t="shared" ref="N39" si="89">ROUNDDOWN($J39*M39,4)</f>
        <v>2.72</v>
      </c>
      <c r="O39" s="86"/>
      <c r="P39" s="22">
        <f t="shared" ref="P39" si="90">ROUNDDOWN($J39*O39,4)</f>
        <v>0</v>
      </c>
      <c r="Q39" s="86"/>
      <c r="R39" s="22">
        <f t="shared" ref="R39" si="91">ROUNDDOWN($J39*Q39,4)</f>
        <v>0</v>
      </c>
      <c r="S39" s="86"/>
      <c r="T39" s="22">
        <f t="shared" ref="T39" si="92">ROUNDDOWN($J39*S39,4)</f>
        <v>0</v>
      </c>
      <c r="U39" s="87" t="s">
        <v>87</v>
      </c>
    </row>
    <row r="40" spans="1:21" ht="21.95" customHeight="1">
      <c r="A40" s="110" t="s">
        <v>453</v>
      </c>
      <c r="B40" s="110" t="s">
        <v>579</v>
      </c>
      <c r="C40" s="497" t="s">
        <v>419</v>
      </c>
      <c r="D40" s="498">
        <v>3</v>
      </c>
      <c r="E40" s="498">
        <v>8</v>
      </c>
      <c r="F40" s="498">
        <v>10</v>
      </c>
      <c r="G40" s="498"/>
      <c r="H40" s="84"/>
      <c r="I40" s="84"/>
      <c r="J40" s="112">
        <f t="shared" si="3"/>
        <v>21</v>
      </c>
      <c r="K40" s="85"/>
      <c r="L40" s="22">
        <f t="shared" si="4"/>
        <v>21</v>
      </c>
      <c r="M40" s="86">
        <v>0.108</v>
      </c>
      <c r="N40" s="22">
        <f t="shared" si="83"/>
        <v>2.2679999999999998</v>
      </c>
      <c r="O40" s="86"/>
      <c r="P40" s="22">
        <f t="shared" si="84"/>
        <v>0</v>
      </c>
      <c r="Q40" s="86"/>
      <c r="R40" s="22">
        <f t="shared" si="85"/>
        <v>0</v>
      </c>
      <c r="S40" s="86"/>
      <c r="T40" s="22">
        <f t="shared" si="86"/>
        <v>0</v>
      </c>
      <c r="U40" s="87" t="s">
        <v>97</v>
      </c>
    </row>
    <row r="41" spans="1:21" ht="21.95" customHeight="1">
      <c r="A41" s="110" t="s">
        <v>453</v>
      </c>
      <c r="B41" s="110" t="s">
        <v>578</v>
      </c>
      <c r="C41" s="497" t="s">
        <v>419</v>
      </c>
      <c r="D41" s="498"/>
      <c r="E41" s="498">
        <v>9</v>
      </c>
      <c r="F41" s="498">
        <v>7</v>
      </c>
      <c r="G41" s="498"/>
      <c r="H41" s="84"/>
      <c r="I41" s="84"/>
      <c r="J41" s="112">
        <f t="shared" si="3"/>
        <v>16</v>
      </c>
      <c r="K41" s="85"/>
      <c r="L41" s="22">
        <f t="shared" si="4"/>
        <v>16</v>
      </c>
      <c r="M41" s="86">
        <v>0.108</v>
      </c>
      <c r="N41" s="22">
        <f t="shared" si="83"/>
        <v>1.728</v>
      </c>
      <c r="O41" s="86"/>
      <c r="P41" s="22">
        <f t="shared" si="84"/>
        <v>0</v>
      </c>
      <c r="Q41" s="86"/>
      <c r="R41" s="22">
        <f t="shared" si="85"/>
        <v>0</v>
      </c>
      <c r="S41" s="86"/>
      <c r="T41" s="22">
        <f t="shared" si="86"/>
        <v>0</v>
      </c>
      <c r="U41" s="87" t="s">
        <v>97</v>
      </c>
    </row>
    <row r="42" spans="1:21" ht="21.95" customHeight="1">
      <c r="A42" s="110" t="s">
        <v>453</v>
      </c>
      <c r="B42" s="110" t="s">
        <v>576</v>
      </c>
      <c r="C42" s="497" t="s">
        <v>419</v>
      </c>
      <c r="D42" s="498"/>
      <c r="E42" s="498">
        <v>1</v>
      </c>
      <c r="F42" s="498">
        <v>4</v>
      </c>
      <c r="G42" s="498">
        <v>4</v>
      </c>
      <c r="H42" s="84"/>
      <c r="I42" s="84"/>
      <c r="J42" s="112">
        <f t="shared" si="3"/>
        <v>9</v>
      </c>
      <c r="K42" s="85"/>
      <c r="L42" s="22">
        <f t="shared" si="4"/>
        <v>9</v>
      </c>
      <c r="M42" s="86">
        <v>0.108</v>
      </c>
      <c r="N42" s="22">
        <f t="shared" si="83"/>
        <v>0.97199999999999998</v>
      </c>
      <c r="O42" s="86"/>
      <c r="P42" s="22">
        <f t="shared" si="84"/>
        <v>0</v>
      </c>
      <c r="Q42" s="86"/>
      <c r="R42" s="22">
        <f t="shared" si="85"/>
        <v>0</v>
      </c>
      <c r="S42" s="86"/>
      <c r="T42" s="22">
        <f t="shared" si="86"/>
        <v>0</v>
      </c>
      <c r="U42" s="87" t="s">
        <v>97</v>
      </c>
    </row>
    <row r="43" spans="1:21" ht="21.95" customHeight="1">
      <c r="A43" s="231"/>
      <c r="B43" s="231"/>
      <c r="C43" s="497"/>
      <c r="D43" s="498"/>
      <c r="E43" s="498"/>
      <c r="F43" s="498"/>
      <c r="G43" s="498"/>
      <c r="H43" s="84"/>
      <c r="I43" s="84"/>
      <c r="J43" s="112">
        <f t="shared" ref="J43:J46" si="93">SUM(D43:I43)</f>
        <v>0</v>
      </c>
      <c r="K43" s="85"/>
      <c r="L43" s="22">
        <f t="shared" ref="L43:L46" si="94">ROUND(J43+(J43*K43),0)</f>
        <v>0</v>
      </c>
      <c r="M43" s="86"/>
      <c r="N43" s="22">
        <f t="shared" ref="N43:N46" si="95">ROUNDDOWN($J43*M43,4)</f>
        <v>0</v>
      </c>
      <c r="O43" s="86"/>
      <c r="P43" s="22">
        <f t="shared" ref="P43:P46" si="96">ROUNDDOWN($J43*O43,4)</f>
        <v>0</v>
      </c>
      <c r="Q43" s="86"/>
      <c r="R43" s="22">
        <f t="shared" ref="R43:R46" si="97">ROUNDDOWN($J43*Q43,4)</f>
        <v>0</v>
      </c>
      <c r="S43" s="86"/>
      <c r="T43" s="22">
        <f t="shared" ref="T43:T46" si="98">ROUNDDOWN($J43*S43,4)</f>
        <v>0</v>
      </c>
      <c r="U43" s="87"/>
    </row>
    <row r="44" spans="1:21" ht="21.95" customHeight="1">
      <c r="A44" s="231"/>
      <c r="B44" s="231"/>
      <c r="C44" s="497"/>
      <c r="D44" s="498"/>
      <c r="E44" s="498"/>
      <c r="F44" s="498"/>
      <c r="G44" s="498"/>
      <c r="H44" s="84"/>
      <c r="I44" s="84"/>
      <c r="J44" s="112">
        <f t="shared" si="93"/>
        <v>0</v>
      </c>
      <c r="K44" s="85"/>
      <c r="L44" s="22">
        <f t="shared" si="94"/>
        <v>0</v>
      </c>
      <c r="M44" s="86"/>
      <c r="N44" s="22">
        <f t="shared" si="95"/>
        <v>0</v>
      </c>
      <c r="O44" s="86"/>
      <c r="P44" s="22">
        <f t="shared" si="96"/>
        <v>0</v>
      </c>
      <c r="Q44" s="86"/>
      <c r="R44" s="22">
        <f t="shared" si="97"/>
        <v>0</v>
      </c>
      <c r="S44" s="86"/>
      <c r="T44" s="22">
        <f t="shared" si="98"/>
        <v>0</v>
      </c>
      <c r="U44" s="87"/>
    </row>
    <row r="45" spans="1:21" ht="21.95" customHeight="1">
      <c r="A45" s="231"/>
      <c r="B45" s="231"/>
      <c r="C45" s="497"/>
      <c r="D45" s="498"/>
      <c r="E45" s="498"/>
      <c r="F45" s="498"/>
      <c r="G45" s="498"/>
      <c r="H45" s="84"/>
      <c r="I45" s="84"/>
      <c r="J45" s="112">
        <f t="shared" si="93"/>
        <v>0</v>
      </c>
      <c r="K45" s="85"/>
      <c r="L45" s="22">
        <f t="shared" si="94"/>
        <v>0</v>
      </c>
      <c r="M45" s="86"/>
      <c r="N45" s="22">
        <f t="shared" si="95"/>
        <v>0</v>
      </c>
      <c r="O45" s="86"/>
      <c r="P45" s="22">
        <f t="shared" si="96"/>
        <v>0</v>
      </c>
      <c r="Q45" s="86"/>
      <c r="R45" s="22">
        <f t="shared" si="97"/>
        <v>0</v>
      </c>
      <c r="S45" s="86"/>
      <c r="T45" s="22">
        <f t="shared" si="98"/>
        <v>0</v>
      </c>
      <c r="U45" s="87"/>
    </row>
    <row r="46" spans="1:21" ht="21.95" customHeight="1">
      <c r="A46" s="231"/>
      <c r="B46" s="231"/>
      <c r="C46" s="497"/>
      <c r="D46" s="498"/>
      <c r="E46" s="498"/>
      <c r="F46" s="498"/>
      <c r="G46" s="498"/>
      <c r="H46" s="84"/>
      <c r="I46" s="84"/>
      <c r="J46" s="112">
        <f t="shared" si="93"/>
        <v>0</v>
      </c>
      <c r="K46" s="85"/>
      <c r="L46" s="22">
        <f t="shared" si="94"/>
        <v>0</v>
      </c>
      <c r="M46" s="86"/>
      <c r="N46" s="22">
        <f t="shared" si="95"/>
        <v>0</v>
      </c>
      <c r="O46" s="86"/>
      <c r="P46" s="22">
        <f t="shared" si="96"/>
        <v>0</v>
      </c>
      <c r="Q46" s="86"/>
      <c r="R46" s="22">
        <f t="shared" si="97"/>
        <v>0</v>
      </c>
      <c r="S46" s="86"/>
      <c r="T46" s="22">
        <f t="shared" si="98"/>
        <v>0</v>
      </c>
      <c r="U46" s="87"/>
    </row>
    <row r="47" spans="1:21" ht="21.95" customHeight="1">
      <c r="A47" s="231"/>
      <c r="B47" s="231"/>
      <c r="C47" s="497"/>
      <c r="D47" s="498"/>
      <c r="E47" s="498"/>
      <c r="F47" s="498"/>
      <c r="G47" s="498"/>
      <c r="H47" s="84"/>
      <c r="I47" s="84"/>
      <c r="J47" s="112">
        <f t="shared" ref="J47:J48" si="99">SUM(D47:I47)</f>
        <v>0</v>
      </c>
      <c r="K47" s="85"/>
      <c r="L47" s="22">
        <f t="shared" ref="L47:L48" si="100">ROUND(J47+(J47*K47),0)</f>
        <v>0</v>
      </c>
      <c r="M47" s="86"/>
      <c r="N47" s="22">
        <f t="shared" ref="N47:N48" si="101">ROUNDDOWN($J47*M47,4)</f>
        <v>0</v>
      </c>
      <c r="O47" s="86"/>
      <c r="P47" s="22">
        <f t="shared" ref="P47:P48" si="102">ROUNDDOWN($J47*O47,4)</f>
        <v>0</v>
      </c>
      <c r="Q47" s="86"/>
      <c r="R47" s="22">
        <f t="shared" ref="R47:R48" si="103">ROUNDDOWN($J47*Q47,4)</f>
        <v>0</v>
      </c>
      <c r="S47" s="86"/>
      <c r="T47" s="22">
        <f t="shared" ref="T47:T48" si="104">ROUNDDOWN($J47*S47,4)</f>
        <v>0</v>
      </c>
      <c r="U47" s="87"/>
    </row>
    <row r="48" spans="1:21" ht="21.95" customHeight="1">
      <c r="A48" s="231"/>
      <c r="B48" s="231"/>
      <c r="C48" s="497"/>
      <c r="D48" s="498"/>
      <c r="E48" s="498"/>
      <c r="F48" s="498"/>
      <c r="G48" s="498"/>
      <c r="H48" s="84"/>
      <c r="I48" s="84"/>
      <c r="J48" s="112">
        <f t="shared" si="99"/>
        <v>0</v>
      </c>
      <c r="K48" s="85"/>
      <c r="L48" s="22">
        <f t="shared" si="100"/>
        <v>0</v>
      </c>
      <c r="M48" s="86"/>
      <c r="N48" s="22">
        <f t="shared" si="101"/>
        <v>0</v>
      </c>
      <c r="O48" s="86"/>
      <c r="P48" s="22">
        <f t="shared" si="102"/>
        <v>0</v>
      </c>
      <c r="Q48" s="86"/>
      <c r="R48" s="22">
        <f t="shared" si="103"/>
        <v>0</v>
      </c>
      <c r="S48" s="86"/>
      <c r="T48" s="22">
        <f t="shared" si="104"/>
        <v>0</v>
      </c>
      <c r="U48" s="87"/>
    </row>
    <row r="49" spans="1:22" ht="21.95" customHeight="1">
      <c r="A49" s="112" t="s">
        <v>312</v>
      </c>
      <c r="B49" s="112"/>
      <c r="C49" s="112"/>
      <c r="D49" s="112"/>
      <c r="E49" s="112"/>
      <c r="F49" s="112"/>
      <c r="G49" s="112"/>
      <c r="H49" s="112"/>
      <c r="I49" s="112"/>
      <c r="J49" s="90"/>
      <c r="K49" s="91"/>
      <c r="L49" s="22"/>
      <c r="M49" s="84"/>
      <c r="N49" s="84">
        <f ca="1">ROUNDDOWN(SUM(N3:N48)*$V49,1)</f>
        <v>59.7</v>
      </c>
      <c r="O49" s="89"/>
      <c r="P49" s="84">
        <f ca="1">ROUNDDOWN(SUM(P3:P48)*$V49,1)</f>
        <v>9.1</v>
      </c>
      <c r="Q49" s="84"/>
      <c r="R49" s="84">
        <f ca="1">ROUNDDOWN(SUM(R3:R48)*$V49,1)</f>
        <v>0</v>
      </c>
      <c r="S49" s="89"/>
      <c r="T49" s="84">
        <f ca="1">ROUNDDOWN(SUM(T3:T48)*$V49,1)</f>
        <v>0</v>
      </c>
      <c r="U49" s="87"/>
      <c r="V49" s="119">
        <v>1</v>
      </c>
    </row>
  </sheetData>
  <mergeCells count="13">
    <mergeCell ref="U2:U3"/>
    <mergeCell ref="K2:K3"/>
    <mergeCell ref="L2:L3"/>
    <mergeCell ref="M2:N2"/>
    <mergeCell ref="O2:P2"/>
    <mergeCell ref="Q2:R2"/>
    <mergeCell ref="S2:T2"/>
    <mergeCell ref="J2:J3"/>
    <mergeCell ref="A1:B1"/>
    <mergeCell ref="A2:A3"/>
    <mergeCell ref="B2:B3"/>
    <mergeCell ref="C2:C3"/>
    <mergeCell ref="D2:I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80"/>
  <dimension ref="A1:X72"/>
  <sheetViews>
    <sheetView showZeros="0" view="pageBreakPreview" zoomScaleSheetLayoutView="100" workbookViewId="0">
      <pane xSplit="2" ySplit="2" topLeftCell="C3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1610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379" t="s">
        <v>1452</v>
      </c>
      <c r="B3" s="118"/>
      <c r="C3" s="123"/>
      <c r="D3" s="230"/>
      <c r="E3" s="123"/>
      <c r="F3" s="230"/>
      <c r="G3" s="123"/>
      <c r="H3" s="230"/>
      <c r="I3" s="176"/>
      <c r="J3" s="225"/>
      <c r="K3" s="228"/>
      <c r="L3" s="229"/>
      <c r="M3" s="232"/>
    </row>
    <row r="4" spans="1:24" s="167" customFormat="1" ht="22.5" customHeight="1">
      <c r="A4" s="99" t="s">
        <v>1453</v>
      </c>
      <c r="B4" s="118" t="s">
        <v>1454</v>
      </c>
      <c r="C4" s="123" t="s">
        <v>1487</v>
      </c>
      <c r="D4" s="230">
        <v>1</v>
      </c>
      <c r="E4" s="123" t="s">
        <v>1386</v>
      </c>
      <c r="F4" s="230">
        <v>1</v>
      </c>
      <c r="G4" s="123" t="s">
        <v>1481</v>
      </c>
      <c r="H4" s="230">
        <v>1</v>
      </c>
      <c r="I4" s="176" t="s">
        <v>1597</v>
      </c>
      <c r="J4" s="225">
        <f ca="1">djs(I4,1)*H4</f>
        <v>5.5</v>
      </c>
      <c r="K4" s="228">
        <f t="shared" ref="K4:K14" ca="1" si="0">((djs(I4,0)+djs(I4,1))*D4)*H4</f>
        <v>16.5</v>
      </c>
      <c r="L4" s="229">
        <f t="shared" ref="L4:L14" ca="1" si="1">((djs(I4,0)+djs(I4,1))*F4)*H4</f>
        <v>16.5</v>
      </c>
      <c r="M4" s="232"/>
    </row>
    <row r="5" spans="1:24" s="167" customFormat="1" ht="22.5" customHeight="1">
      <c r="A5" s="118"/>
      <c r="B5" s="118"/>
      <c r="C5" s="123" t="s">
        <v>1487</v>
      </c>
      <c r="D5" s="230">
        <v>1</v>
      </c>
      <c r="E5" s="123" t="s">
        <v>1386</v>
      </c>
      <c r="F5" s="230">
        <v>1</v>
      </c>
      <c r="G5" s="123" t="s">
        <v>1505</v>
      </c>
      <c r="H5" s="230">
        <v>1</v>
      </c>
      <c r="I5" s="176">
        <v>5</v>
      </c>
      <c r="J5" s="225">
        <f ca="1">djs(I5,1)*H5</f>
        <v>5</v>
      </c>
      <c r="K5" s="228">
        <f t="shared" ca="1" si="0"/>
        <v>5</v>
      </c>
      <c r="L5" s="229">
        <f t="shared" ca="1" si="1"/>
        <v>5</v>
      </c>
      <c r="M5" s="232"/>
    </row>
    <row r="6" spans="1:24" s="167" customFormat="1" ht="22.5" customHeight="1">
      <c r="A6" s="118"/>
      <c r="B6" s="118"/>
      <c r="C6" s="231"/>
      <c r="D6" s="230"/>
      <c r="E6" s="231"/>
      <c r="F6" s="230"/>
      <c r="G6" s="123"/>
      <c r="H6" s="230"/>
      <c r="I6" s="176"/>
      <c r="J6" s="225">
        <f ca="1">djs(I6,1)*H6</f>
        <v>0</v>
      </c>
      <c r="K6" s="228">
        <f t="shared" ref="K6:K8" ca="1" si="2">((djs(I6,0)+djs(I6,1))*D6)*H6</f>
        <v>0</v>
      </c>
      <c r="L6" s="229">
        <f t="shared" ref="L6:L8" ca="1" si="3">((djs(I6,0)+djs(I6,1))*F6)*H6</f>
        <v>0</v>
      </c>
      <c r="M6" s="232"/>
    </row>
    <row r="7" spans="1:24" s="167" customFormat="1" ht="22.5" customHeight="1">
      <c r="A7" s="99"/>
      <c r="B7" s="118" t="s">
        <v>1482</v>
      </c>
      <c r="C7" s="123" t="s">
        <v>1478</v>
      </c>
      <c r="D7" s="230">
        <v>1</v>
      </c>
      <c r="E7" s="123" t="s">
        <v>585</v>
      </c>
      <c r="F7" s="230">
        <v>1</v>
      </c>
      <c r="G7" s="123" t="s">
        <v>1064</v>
      </c>
      <c r="H7" s="230">
        <v>1</v>
      </c>
      <c r="I7" s="176" t="s">
        <v>1598</v>
      </c>
      <c r="J7" s="225">
        <f ca="1">djs(I7,1)*H7</f>
        <v>3.5</v>
      </c>
      <c r="K7" s="228">
        <f t="shared" ca="1" si="2"/>
        <v>14.5</v>
      </c>
      <c r="L7" s="229">
        <f t="shared" ca="1" si="3"/>
        <v>14.5</v>
      </c>
      <c r="M7" s="232"/>
    </row>
    <row r="8" spans="1:24" s="167" customFormat="1" ht="22.5" customHeight="1">
      <c r="A8" s="99"/>
      <c r="B8" s="118"/>
      <c r="C8" s="123" t="s">
        <v>1478</v>
      </c>
      <c r="D8" s="230">
        <v>1</v>
      </c>
      <c r="E8" s="123" t="s">
        <v>585</v>
      </c>
      <c r="F8" s="230">
        <v>1</v>
      </c>
      <c r="G8" s="123" t="s">
        <v>1066</v>
      </c>
      <c r="H8" s="230">
        <v>1</v>
      </c>
      <c r="I8" s="176">
        <v>5</v>
      </c>
      <c r="J8" s="225">
        <f ca="1">djs(I8,1)*H8</f>
        <v>5</v>
      </c>
      <c r="K8" s="228">
        <f t="shared" ca="1" si="2"/>
        <v>5</v>
      </c>
      <c r="L8" s="229">
        <f t="shared" ca="1" si="3"/>
        <v>5</v>
      </c>
      <c r="M8" s="232"/>
    </row>
    <row r="9" spans="1:24" s="167" customFormat="1" ht="22.5" customHeight="1">
      <c r="A9" s="118"/>
      <c r="B9" s="118"/>
      <c r="C9" s="123"/>
      <c r="D9" s="230"/>
      <c r="E9" s="123"/>
      <c r="F9" s="230"/>
      <c r="G9" s="123"/>
      <c r="H9" s="230"/>
      <c r="I9" s="176"/>
      <c r="J9" s="225"/>
      <c r="K9" s="228"/>
      <c r="L9" s="229"/>
      <c r="M9" s="232"/>
    </row>
    <row r="10" spans="1:24" s="167" customFormat="1" ht="22.5" customHeight="1">
      <c r="A10" s="118"/>
      <c r="B10" s="118" t="s">
        <v>1483</v>
      </c>
      <c r="C10" s="123" t="s">
        <v>1484</v>
      </c>
      <c r="D10" s="230">
        <v>1</v>
      </c>
      <c r="E10" s="123" t="s">
        <v>1485</v>
      </c>
      <c r="F10" s="230">
        <v>1</v>
      </c>
      <c r="G10" s="123" t="s">
        <v>1058</v>
      </c>
      <c r="H10" s="230">
        <v>1</v>
      </c>
      <c r="I10" s="176" t="s">
        <v>1599</v>
      </c>
      <c r="J10" s="225">
        <f ca="1">djs(I10,1)*H10</f>
        <v>1</v>
      </c>
      <c r="K10" s="228">
        <f t="shared" ref="K10:K11" ca="1" si="4">((djs(I10,0)+djs(I10,1))*D10)*H10</f>
        <v>12</v>
      </c>
      <c r="L10" s="229">
        <f t="shared" ref="L10:L11" ca="1" si="5">((djs(I10,0)+djs(I10,1))*F10)*H10</f>
        <v>12</v>
      </c>
      <c r="M10" s="232"/>
    </row>
    <row r="11" spans="1:24" s="167" customFormat="1" ht="22.5" customHeight="1">
      <c r="A11" s="99"/>
      <c r="B11" s="118"/>
      <c r="C11" s="123" t="s">
        <v>1484</v>
      </c>
      <c r="D11" s="230">
        <v>1</v>
      </c>
      <c r="E11" s="123" t="s">
        <v>1386</v>
      </c>
      <c r="F11" s="230">
        <v>1</v>
      </c>
      <c r="G11" s="123" t="s">
        <v>1387</v>
      </c>
      <c r="H11" s="230">
        <v>1</v>
      </c>
      <c r="I11" s="176">
        <v>5</v>
      </c>
      <c r="J11" s="225">
        <f ca="1">djs(I11,1)*H11</f>
        <v>5</v>
      </c>
      <c r="K11" s="228">
        <f t="shared" ca="1" si="4"/>
        <v>5</v>
      </c>
      <c r="L11" s="229">
        <f t="shared" ca="1" si="5"/>
        <v>5</v>
      </c>
      <c r="M11" s="232"/>
    </row>
    <row r="12" spans="1:24" s="167" customFormat="1" ht="22.5" customHeight="1">
      <c r="A12" s="118"/>
      <c r="B12" s="118"/>
      <c r="C12" s="123"/>
      <c r="D12" s="230"/>
      <c r="E12" s="123"/>
      <c r="F12" s="230"/>
      <c r="G12" s="123"/>
      <c r="H12" s="230"/>
      <c r="I12" s="176"/>
      <c r="J12" s="225">
        <f t="shared" ref="J12" ca="1" si="6">djs(I12,1)*H12</f>
        <v>0</v>
      </c>
      <c r="K12" s="228">
        <f t="shared" ca="1" si="0"/>
        <v>0</v>
      </c>
      <c r="L12" s="229">
        <f t="shared" ca="1" si="1"/>
        <v>0</v>
      </c>
      <c r="M12" s="232"/>
    </row>
    <row r="13" spans="1:24" s="167" customFormat="1" ht="22.5" customHeight="1">
      <c r="A13" s="99"/>
      <c r="B13" s="118" t="s">
        <v>1600</v>
      </c>
      <c r="C13" s="123" t="s">
        <v>1433</v>
      </c>
      <c r="D13" s="230">
        <v>1</v>
      </c>
      <c r="E13" s="123" t="s">
        <v>1485</v>
      </c>
      <c r="F13" s="230">
        <v>1</v>
      </c>
      <c r="G13" s="123" t="s">
        <v>1070</v>
      </c>
      <c r="H13" s="230">
        <v>1</v>
      </c>
      <c r="I13" s="176" t="s">
        <v>1601</v>
      </c>
      <c r="J13" s="225">
        <f ca="1">djs(I13,1)*H13</f>
        <v>4.5</v>
      </c>
      <c r="K13" s="228">
        <f t="shared" ca="1" si="0"/>
        <v>15.5</v>
      </c>
      <c r="L13" s="229">
        <f t="shared" ca="1" si="1"/>
        <v>15.5</v>
      </c>
      <c r="M13" s="232"/>
    </row>
    <row r="14" spans="1:24" s="167" customFormat="1" ht="22.5" customHeight="1">
      <c r="A14" s="99"/>
      <c r="B14" s="118"/>
      <c r="C14" s="123"/>
      <c r="D14" s="230"/>
      <c r="E14" s="123"/>
      <c r="F14" s="230"/>
      <c r="G14" s="123"/>
      <c r="H14" s="230"/>
      <c r="I14" s="176"/>
      <c r="J14" s="225">
        <f ca="1">djs(I14,1)*H14</f>
        <v>0</v>
      </c>
      <c r="K14" s="228">
        <f t="shared" ca="1" si="0"/>
        <v>0</v>
      </c>
      <c r="L14" s="229">
        <f t="shared" ca="1" si="1"/>
        <v>0</v>
      </c>
      <c r="M14" s="232"/>
    </row>
    <row r="15" spans="1:24" s="167" customFormat="1" ht="22.5" customHeight="1">
      <c r="A15" s="99"/>
      <c r="B15" s="118" t="s">
        <v>1602</v>
      </c>
      <c r="C15" s="123" t="s">
        <v>1490</v>
      </c>
      <c r="D15" s="230">
        <v>1</v>
      </c>
      <c r="E15" s="123" t="s">
        <v>1491</v>
      </c>
      <c r="F15" s="230">
        <v>1</v>
      </c>
      <c r="G15" s="123" t="s">
        <v>1486</v>
      </c>
      <c r="H15" s="230">
        <v>2</v>
      </c>
      <c r="I15" s="176" t="s">
        <v>1603</v>
      </c>
      <c r="J15" s="225">
        <f ca="1">djs(I15,1)*H15</f>
        <v>11</v>
      </c>
      <c r="K15" s="228">
        <f t="shared" ref="K15:K71" ca="1" si="7">((djs(I15,0)+djs(I15,1))*D15)*H15</f>
        <v>42</v>
      </c>
      <c r="L15" s="229">
        <f t="shared" ref="L15:L16" ca="1" si="8">((djs(I15,0)+djs(I15,1))*F15)*H15</f>
        <v>42</v>
      </c>
      <c r="M15" s="232"/>
    </row>
    <row r="16" spans="1:24" s="167" customFormat="1" ht="22.5" customHeight="1">
      <c r="A16" s="99"/>
      <c r="B16" s="118"/>
      <c r="C16" s="123" t="s">
        <v>1490</v>
      </c>
      <c r="D16" s="230">
        <v>1</v>
      </c>
      <c r="E16" s="123" t="s">
        <v>1491</v>
      </c>
      <c r="F16" s="230">
        <v>1</v>
      </c>
      <c r="G16" s="123" t="s">
        <v>1506</v>
      </c>
      <c r="H16" s="230">
        <v>2</v>
      </c>
      <c r="I16" s="176">
        <v>5</v>
      </c>
      <c r="J16" s="225">
        <f ca="1">djs(I16,1)*H16</f>
        <v>10</v>
      </c>
      <c r="K16" s="228">
        <f t="shared" ca="1" si="7"/>
        <v>10</v>
      </c>
      <c r="L16" s="229">
        <f t="shared" ca="1" si="8"/>
        <v>10</v>
      </c>
      <c r="M16" s="232"/>
    </row>
    <row r="17" spans="1:13" s="167" customFormat="1" ht="22.5" customHeight="1">
      <c r="A17" s="99"/>
      <c r="B17" s="118"/>
      <c r="C17" s="123"/>
      <c r="D17" s="230"/>
      <c r="E17" s="123"/>
      <c r="F17" s="230"/>
      <c r="G17" s="123"/>
      <c r="H17" s="230"/>
      <c r="I17" s="176"/>
      <c r="J17" s="225"/>
      <c r="K17" s="228"/>
      <c r="L17" s="229"/>
      <c r="M17" s="232"/>
    </row>
    <row r="18" spans="1:13" s="167" customFormat="1" ht="22.5" customHeight="1">
      <c r="A18" s="99"/>
      <c r="B18" s="118" t="s">
        <v>1604</v>
      </c>
      <c r="C18" s="123" t="s">
        <v>1490</v>
      </c>
      <c r="D18" s="230">
        <v>1</v>
      </c>
      <c r="E18" s="123" t="s">
        <v>1491</v>
      </c>
      <c r="F18" s="230">
        <v>1</v>
      </c>
      <c r="G18" s="123" t="s">
        <v>1070</v>
      </c>
      <c r="H18" s="230">
        <v>1</v>
      </c>
      <c r="I18" s="176" t="s">
        <v>1605</v>
      </c>
      <c r="J18" s="225">
        <f ca="1">djs(I18,1)*H18</f>
        <v>8</v>
      </c>
      <c r="K18" s="228">
        <f t="shared" ref="K18:K19" ca="1" si="9">((djs(I18,0)+djs(I18,1))*D18)*H18</f>
        <v>15</v>
      </c>
      <c r="L18" s="229">
        <f t="shared" ref="L18:L19" ca="1" si="10">((djs(I18,0)+djs(I18,1))*F18)*H18</f>
        <v>15</v>
      </c>
      <c r="M18" s="232"/>
    </row>
    <row r="19" spans="1:13" s="167" customFormat="1" ht="22.5" customHeight="1">
      <c r="A19" s="99"/>
      <c r="B19" s="118"/>
      <c r="C19" s="123" t="s">
        <v>1490</v>
      </c>
      <c r="D19" s="230">
        <v>1</v>
      </c>
      <c r="E19" s="123" t="s">
        <v>1491</v>
      </c>
      <c r="F19" s="230">
        <v>1</v>
      </c>
      <c r="G19" s="123" t="s">
        <v>992</v>
      </c>
      <c r="H19" s="230">
        <v>1</v>
      </c>
      <c r="I19" s="176">
        <v>2</v>
      </c>
      <c r="J19" s="225">
        <f ca="1">djs(I19,1)*H19</f>
        <v>2</v>
      </c>
      <c r="K19" s="228">
        <f t="shared" ca="1" si="9"/>
        <v>2</v>
      </c>
      <c r="L19" s="229">
        <f t="shared" ca="1" si="10"/>
        <v>2</v>
      </c>
      <c r="M19" s="232"/>
    </row>
    <row r="20" spans="1:13" s="167" customFormat="1" ht="22.5" customHeight="1">
      <c r="A20" s="99"/>
      <c r="B20" s="118"/>
      <c r="C20" s="123"/>
      <c r="D20" s="230"/>
      <c r="E20" s="123"/>
      <c r="F20" s="230"/>
      <c r="G20" s="123"/>
      <c r="H20" s="230"/>
      <c r="I20" s="176"/>
      <c r="J20" s="225"/>
      <c r="K20" s="228"/>
      <c r="L20" s="229"/>
      <c r="M20" s="232"/>
    </row>
    <row r="21" spans="1:13" s="167" customFormat="1" ht="22.5" customHeight="1">
      <c r="A21" s="99"/>
      <c r="B21" s="118" t="s">
        <v>1606</v>
      </c>
      <c r="C21" s="123" t="s">
        <v>1490</v>
      </c>
      <c r="D21" s="230">
        <v>1</v>
      </c>
      <c r="E21" s="123" t="s">
        <v>1491</v>
      </c>
      <c r="F21" s="230">
        <v>1</v>
      </c>
      <c r="G21" s="123" t="s">
        <v>1070</v>
      </c>
      <c r="H21" s="230">
        <v>1</v>
      </c>
      <c r="I21" s="176" t="s">
        <v>1607</v>
      </c>
      <c r="J21" s="225">
        <f ca="1">djs(I21,1)*H21</f>
        <v>5.5</v>
      </c>
      <c r="K21" s="228">
        <f t="shared" ref="K21:K22" ca="1" si="11">((djs(I21,0)+djs(I21,1))*D21)*H21</f>
        <v>12.5</v>
      </c>
      <c r="L21" s="229">
        <f t="shared" ref="L21:L22" ca="1" si="12">((djs(I21,0)+djs(I21,1))*F21)*H21</f>
        <v>12.5</v>
      </c>
      <c r="M21" s="232"/>
    </row>
    <row r="22" spans="1:13" s="167" customFormat="1" ht="22.5" customHeight="1">
      <c r="A22" s="99"/>
      <c r="B22" s="118"/>
      <c r="C22" s="123" t="s">
        <v>1490</v>
      </c>
      <c r="D22" s="230">
        <v>1</v>
      </c>
      <c r="E22" s="123" t="s">
        <v>1491</v>
      </c>
      <c r="F22" s="230">
        <v>1</v>
      </c>
      <c r="G22" s="123" t="s">
        <v>992</v>
      </c>
      <c r="H22" s="230">
        <v>1</v>
      </c>
      <c r="I22" s="176">
        <v>2</v>
      </c>
      <c r="J22" s="225">
        <f ca="1">djs(I22,1)*H22</f>
        <v>2</v>
      </c>
      <c r="K22" s="228">
        <f t="shared" ca="1" si="11"/>
        <v>2</v>
      </c>
      <c r="L22" s="229">
        <f t="shared" ca="1" si="12"/>
        <v>2</v>
      </c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/>
      <c r="K23" s="228"/>
      <c r="L23" s="229"/>
      <c r="M23" s="232"/>
    </row>
    <row r="24" spans="1:13" s="167" customFormat="1" ht="22.5" customHeight="1">
      <c r="A24" s="99"/>
      <c r="B24" s="118" t="s">
        <v>1608</v>
      </c>
      <c r="C24" s="123" t="s">
        <v>1401</v>
      </c>
      <c r="D24" s="230">
        <v>1</v>
      </c>
      <c r="E24" s="123" t="s">
        <v>1386</v>
      </c>
      <c r="F24" s="230">
        <v>1</v>
      </c>
      <c r="G24" s="123" t="s">
        <v>1070</v>
      </c>
      <c r="H24" s="230">
        <v>1</v>
      </c>
      <c r="I24" s="176" t="s">
        <v>1609</v>
      </c>
      <c r="J24" s="225">
        <f ca="1">djs(I24,1)*H24</f>
        <v>30.8</v>
      </c>
      <c r="K24" s="228">
        <f t="shared" ref="K24" ca="1" si="13">((djs(I24,0)+djs(I24,1))*D24)*H24</f>
        <v>60.3</v>
      </c>
      <c r="L24" s="229">
        <f t="shared" ref="L24:L71" ca="1" si="14">((djs(I24,0)+djs(I24,1))*F24)*H24</f>
        <v>60.3</v>
      </c>
      <c r="M24" s="232"/>
    </row>
    <row r="25" spans="1:13" s="167" customFormat="1" ht="22.5" customHeight="1">
      <c r="A25" s="99"/>
      <c r="B25" s="118"/>
      <c r="C25" s="123"/>
      <c r="D25" s="230"/>
      <c r="E25" s="123"/>
      <c r="F25" s="230"/>
      <c r="G25" s="123"/>
      <c r="H25" s="230"/>
      <c r="I25" s="176"/>
      <c r="J25" s="225"/>
      <c r="K25" s="228"/>
      <c r="L25" s="229">
        <f t="shared" ca="1" si="14"/>
        <v>0</v>
      </c>
      <c r="M25" s="232"/>
    </row>
    <row r="26" spans="1:13" s="167" customFormat="1" ht="22.5" customHeight="1">
      <c r="A26" s="99"/>
      <c r="B26" s="118" t="s">
        <v>1492</v>
      </c>
      <c r="C26" s="123" t="s">
        <v>1493</v>
      </c>
      <c r="D26" s="230">
        <v>1</v>
      </c>
      <c r="E26" s="123"/>
      <c r="F26" s="230"/>
      <c r="G26" s="123" t="s">
        <v>1489</v>
      </c>
      <c r="H26" s="230">
        <v>1</v>
      </c>
      <c r="I26" s="176" t="s">
        <v>1603</v>
      </c>
      <c r="J26" s="225">
        <f ca="1">djs(I26,1)*H26</f>
        <v>5.5</v>
      </c>
      <c r="K26" s="228">
        <f t="shared" ca="1" si="7"/>
        <v>21</v>
      </c>
      <c r="L26" s="229">
        <f t="shared" ca="1" si="14"/>
        <v>0</v>
      </c>
      <c r="M26" s="232"/>
    </row>
    <row r="27" spans="1:13" s="167" customFormat="1" ht="22.5" customHeight="1">
      <c r="A27" s="99"/>
      <c r="B27" s="118"/>
      <c r="C27" s="123" t="s">
        <v>1493</v>
      </c>
      <c r="D27" s="230">
        <v>1</v>
      </c>
      <c r="E27" s="123"/>
      <c r="F27" s="230"/>
      <c r="G27" s="123" t="s">
        <v>992</v>
      </c>
      <c r="H27" s="230">
        <v>1</v>
      </c>
      <c r="I27" s="176">
        <v>5</v>
      </c>
      <c r="J27" s="225">
        <f t="shared" ref="J27:J71" ca="1" si="15">djs(I27,1)*H27</f>
        <v>5</v>
      </c>
      <c r="K27" s="228">
        <f t="shared" ca="1" si="7"/>
        <v>5</v>
      </c>
      <c r="L27" s="229">
        <f t="shared" ca="1" si="14"/>
        <v>0</v>
      </c>
      <c r="M27" s="232"/>
    </row>
    <row r="28" spans="1:13" s="167" customFormat="1" ht="22.5" customHeight="1">
      <c r="A28" s="99"/>
      <c r="B28" s="118"/>
      <c r="C28" s="123"/>
      <c r="D28" s="230"/>
      <c r="E28" s="123"/>
      <c r="F28" s="230"/>
      <c r="G28" s="123"/>
      <c r="H28" s="230"/>
      <c r="I28" s="176"/>
      <c r="J28" s="225">
        <f t="shared" ca="1" si="15"/>
        <v>0</v>
      </c>
      <c r="K28" s="228">
        <f t="shared" ca="1" si="7"/>
        <v>0</v>
      </c>
      <c r="L28" s="229">
        <f t="shared" ca="1" si="14"/>
        <v>0</v>
      </c>
      <c r="M28" s="232"/>
    </row>
    <row r="29" spans="1:13" s="167" customFormat="1" ht="22.5" customHeight="1">
      <c r="A29" s="379" t="s">
        <v>1577</v>
      </c>
      <c r="B29" s="118"/>
      <c r="C29" s="123"/>
      <c r="D29" s="230"/>
      <c r="E29" s="123"/>
      <c r="F29" s="230"/>
      <c r="G29" s="123"/>
      <c r="H29" s="230"/>
      <c r="I29" s="176"/>
      <c r="J29" s="225">
        <f t="shared" ca="1" si="15"/>
        <v>0</v>
      </c>
      <c r="K29" s="228">
        <f t="shared" ca="1" si="7"/>
        <v>0</v>
      </c>
      <c r="L29" s="229">
        <f t="shared" ca="1" si="14"/>
        <v>0</v>
      </c>
      <c r="M29" s="232"/>
    </row>
    <row r="30" spans="1:13" s="167" customFormat="1" ht="22.5" customHeight="1">
      <c r="A30" s="99" t="s">
        <v>1631</v>
      </c>
      <c r="B30" s="118" t="s">
        <v>1611</v>
      </c>
      <c r="C30" s="231" t="s">
        <v>699</v>
      </c>
      <c r="D30" s="230">
        <v>2</v>
      </c>
      <c r="E30" s="231" t="s">
        <v>699</v>
      </c>
      <c r="F30" s="230">
        <v>1</v>
      </c>
      <c r="G30" s="123" t="s">
        <v>1612</v>
      </c>
      <c r="H30" s="230">
        <v>1</v>
      </c>
      <c r="I30" s="176" t="s">
        <v>1613</v>
      </c>
      <c r="J30" s="225">
        <f t="shared" ca="1" si="15"/>
        <v>22.2</v>
      </c>
      <c r="K30" s="228">
        <f t="shared" ca="1" si="7"/>
        <v>46.4</v>
      </c>
      <c r="L30" s="229">
        <f t="shared" ca="1" si="14"/>
        <v>23.2</v>
      </c>
      <c r="M30" s="232"/>
    </row>
    <row r="31" spans="1:13" s="167" customFormat="1" ht="22.5" customHeight="1">
      <c r="A31" s="99"/>
      <c r="B31" s="118" t="s">
        <v>1614</v>
      </c>
      <c r="C31" s="231" t="s">
        <v>699</v>
      </c>
      <c r="D31" s="230">
        <v>2</v>
      </c>
      <c r="E31" s="231" t="s">
        <v>699</v>
      </c>
      <c r="F31" s="230">
        <v>1</v>
      </c>
      <c r="G31" s="123" t="s">
        <v>1612</v>
      </c>
      <c r="H31" s="230">
        <v>1</v>
      </c>
      <c r="I31" s="176" t="s">
        <v>1615</v>
      </c>
      <c r="J31" s="225">
        <f t="shared" ca="1" si="15"/>
        <v>10</v>
      </c>
      <c r="K31" s="228">
        <f t="shared" ca="1" si="7"/>
        <v>22</v>
      </c>
      <c r="L31" s="229">
        <f t="shared" ca="1" si="14"/>
        <v>11</v>
      </c>
      <c r="M31" s="232"/>
    </row>
    <row r="32" spans="1:13" s="167" customFormat="1" ht="22.5" customHeight="1">
      <c r="A32" s="99"/>
      <c r="B32" s="118" t="s">
        <v>1616</v>
      </c>
      <c r="C32" s="231" t="s">
        <v>699</v>
      </c>
      <c r="D32" s="230">
        <v>2</v>
      </c>
      <c r="E32" s="231" t="s">
        <v>699</v>
      </c>
      <c r="F32" s="230">
        <v>1</v>
      </c>
      <c r="G32" s="123" t="s">
        <v>1612</v>
      </c>
      <c r="H32" s="230">
        <v>1</v>
      </c>
      <c r="I32" s="176" t="s">
        <v>1618</v>
      </c>
      <c r="J32" s="225">
        <f t="shared" ref="J32:J35" ca="1" si="16">djs(I32,1)*H32</f>
        <v>6.2</v>
      </c>
      <c r="K32" s="228">
        <f t="shared" ref="K32:K35" ca="1" si="17">((djs(I32,0)+djs(I32,1))*D32)*H32</f>
        <v>14.4</v>
      </c>
      <c r="L32" s="229">
        <f t="shared" ref="L32:L35" ca="1" si="18">((djs(I32,0)+djs(I32,1))*F32)*H32</f>
        <v>7.2</v>
      </c>
      <c r="M32" s="232"/>
    </row>
    <row r="33" spans="1:13" s="167" customFormat="1" ht="22.5" customHeight="1">
      <c r="A33" s="99"/>
      <c r="B33" s="118" t="s">
        <v>1617</v>
      </c>
      <c r="C33" s="231" t="s">
        <v>699</v>
      </c>
      <c r="D33" s="230">
        <v>2</v>
      </c>
      <c r="E33" s="231" t="s">
        <v>699</v>
      </c>
      <c r="F33" s="230">
        <v>1</v>
      </c>
      <c r="G33" s="123" t="s">
        <v>1612</v>
      </c>
      <c r="H33" s="230">
        <v>1</v>
      </c>
      <c r="I33" s="176" t="s">
        <v>1619</v>
      </c>
      <c r="J33" s="225">
        <f t="shared" ca="1" si="16"/>
        <v>5.2</v>
      </c>
      <c r="K33" s="228">
        <f t="shared" ca="1" si="17"/>
        <v>12.4</v>
      </c>
      <c r="L33" s="229">
        <f t="shared" ca="1" si="18"/>
        <v>6.2</v>
      </c>
      <c r="M33" s="232"/>
    </row>
    <row r="34" spans="1:13" s="167" customFormat="1" ht="22.5" customHeight="1">
      <c r="A34" s="99"/>
      <c r="B34" s="118" t="s">
        <v>1620</v>
      </c>
      <c r="C34" s="231" t="s">
        <v>699</v>
      </c>
      <c r="D34" s="230">
        <v>2</v>
      </c>
      <c r="E34" s="231" t="s">
        <v>699</v>
      </c>
      <c r="F34" s="230">
        <v>1</v>
      </c>
      <c r="G34" s="123" t="s">
        <v>1612</v>
      </c>
      <c r="H34" s="230">
        <v>1</v>
      </c>
      <c r="I34" s="176" t="s">
        <v>1624</v>
      </c>
      <c r="J34" s="225">
        <f t="shared" ca="1" si="16"/>
        <v>4.4000000000000004</v>
      </c>
      <c r="K34" s="228">
        <f t="shared" ca="1" si="17"/>
        <v>10.8</v>
      </c>
      <c r="L34" s="229">
        <f t="shared" ca="1" si="18"/>
        <v>5.4</v>
      </c>
      <c r="M34" s="232"/>
    </row>
    <row r="35" spans="1:13" s="167" customFormat="1" ht="22.5" customHeight="1">
      <c r="A35" s="99"/>
      <c r="B35" s="118" t="s">
        <v>1621</v>
      </c>
      <c r="C35" s="231" t="s">
        <v>699</v>
      </c>
      <c r="D35" s="230">
        <v>2</v>
      </c>
      <c r="E35" s="231" t="s">
        <v>699</v>
      </c>
      <c r="F35" s="230">
        <v>1</v>
      </c>
      <c r="G35" s="123" t="s">
        <v>1612</v>
      </c>
      <c r="H35" s="230">
        <v>1</v>
      </c>
      <c r="I35" s="176" t="s">
        <v>1625</v>
      </c>
      <c r="J35" s="225">
        <f t="shared" ca="1" si="16"/>
        <v>16.7</v>
      </c>
      <c r="K35" s="228">
        <f t="shared" ca="1" si="17"/>
        <v>35.4</v>
      </c>
      <c r="L35" s="229">
        <f t="shared" ca="1" si="18"/>
        <v>17.7</v>
      </c>
      <c r="M35" s="232"/>
    </row>
    <row r="36" spans="1:13" s="167" customFormat="1" ht="22.5" customHeight="1">
      <c r="A36" s="99"/>
      <c r="B36" s="118" t="s">
        <v>1622</v>
      </c>
      <c r="C36" s="231" t="s">
        <v>699</v>
      </c>
      <c r="D36" s="230">
        <v>2</v>
      </c>
      <c r="E36" s="231" t="s">
        <v>699</v>
      </c>
      <c r="F36" s="230">
        <v>1</v>
      </c>
      <c r="G36" s="123" t="s">
        <v>1612</v>
      </c>
      <c r="H36" s="230">
        <v>1</v>
      </c>
      <c r="I36" s="176" t="s">
        <v>1626</v>
      </c>
      <c r="J36" s="225">
        <f t="shared" ref="J36:J37" ca="1" si="19">djs(I36,1)*H36</f>
        <v>14.4</v>
      </c>
      <c r="K36" s="228">
        <f t="shared" ref="K36:K37" ca="1" si="20">((djs(I36,0)+djs(I36,1))*D36)*H36</f>
        <v>30.8</v>
      </c>
      <c r="L36" s="229">
        <f t="shared" ref="L36:L37" ca="1" si="21">((djs(I36,0)+djs(I36,1))*F36)*H36</f>
        <v>15.4</v>
      </c>
      <c r="M36" s="232"/>
    </row>
    <row r="37" spans="1:13" s="167" customFormat="1" ht="22.5" customHeight="1">
      <c r="A37" s="99"/>
      <c r="B37" s="118" t="s">
        <v>1623</v>
      </c>
      <c r="C37" s="231" t="s">
        <v>699</v>
      </c>
      <c r="D37" s="230">
        <v>2</v>
      </c>
      <c r="E37" s="231" t="s">
        <v>699</v>
      </c>
      <c r="F37" s="230">
        <v>1</v>
      </c>
      <c r="G37" s="123" t="s">
        <v>1612</v>
      </c>
      <c r="H37" s="230">
        <v>1</v>
      </c>
      <c r="I37" s="176" t="s">
        <v>1627</v>
      </c>
      <c r="J37" s="225">
        <f t="shared" ca="1" si="19"/>
        <v>13.2</v>
      </c>
      <c r="K37" s="228">
        <f t="shared" ca="1" si="20"/>
        <v>28.4</v>
      </c>
      <c r="L37" s="229">
        <f t="shared" ca="1" si="21"/>
        <v>14.2</v>
      </c>
      <c r="M37" s="232"/>
    </row>
    <row r="38" spans="1:13" s="167" customFormat="1" ht="22.5" customHeight="1">
      <c r="A38" s="99"/>
      <c r="B38" s="118" t="s">
        <v>1628</v>
      </c>
      <c r="C38" s="123" t="s">
        <v>1043</v>
      </c>
      <c r="D38" s="230">
        <v>1</v>
      </c>
      <c r="E38" s="123" t="s">
        <v>582</v>
      </c>
      <c r="F38" s="230">
        <v>1</v>
      </c>
      <c r="G38" s="123" t="s">
        <v>1629</v>
      </c>
      <c r="H38" s="230">
        <v>1</v>
      </c>
      <c r="I38" s="176" t="s">
        <v>1630</v>
      </c>
      <c r="J38" s="225">
        <f t="shared" ca="1" si="15"/>
        <v>18.100000000000001</v>
      </c>
      <c r="K38" s="228">
        <f t="shared" ca="1" si="7"/>
        <v>20.100000000000001</v>
      </c>
      <c r="L38" s="229">
        <f t="shared" ca="1" si="14"/>
        <v>20.100000000000001</v>
      </c>
      <c r="M38" s="232"/>
    </row>
    <row r="39" spans="1:13" s="167" customFormat="1" ht="22.5" customHeight="1">
      <c r="A39" s="99"/>
      <c r="B39" s="118"/>
      <c r="C39" s="123"/>
      <c r="D39" s="230"/>
      <c r="E39" s="123"/>
      <c r="F39" s="230"/>
      <c r="G39" s="123"/>
      <c r="H39" s="230"/>
      <c r="I39" s="176"/>
      <c r="J39" s="225">
        <f t="shared" ca="1" si="15"/>
        <v>0</v>
      </c>
      <c r="K39" s="228">
        <f t="shared" ca="1" si="7"/>
        <v>0</v>
      </c>
      <c r="L39" s="229">
        <f t="shared" ca="1" si="14"/>
        <v>0</v>
      </c>
      <c r="M39" s="232"/>
    </row>
    <row r="40" spans="1:13" s="167" customFormat="1" ht="22.5" customHeight="1">
      <c r="A40" s="99" t="s">
        <v>1632</v>
      </c>
      <c r="B40" s="118" t="s">
        <v>1633</v>
      </c>
      <c r="C40" s="123" t="s">
        <v>1043</v>
      </c>
      <c r="D40" s="230">
        <v>1</v>
      </c>
      <c r="E40" s="123" t="s">
        <v>582</v>
      </c>
      <c r="F40" s="230">
        <v>1</v>
      </c>
      <c r="G40" s="123" t="s">
        <v>1629</v>
      </c>
      <c r="H40" s="230">
        <v>1</v>
      </c>
      <c r="I40" s="176" t="s">
        <v>1634</v>
      </c>
      <c r="J40" s="225">
        <f t="shared" ca="1" si="15"/>
        <v>13</v>
      </c>
      <c r="K40" s="228">
        <f t="shared" ca="1" si="7"/>
        <v>16</v>
      </c>
      <c r="L40" s="229">
        <f t="shared" ca="1" si="14"/>
        <v>16</v>
      </c>
      <c r="M40" s="232"/>
    </row>
    <row r="41" spans="1:13" s="167" customFormat="1" ht="22.5" customHeight="1">
      <c r="A41" s="99"/>
      <c r="B41" s="118" t="s">
        <v>1635</v>
      </c>
      <c r="C41" s="123" t="s">
        <v>1510</v>
      </c>
      <c r="D41" s="230">
        <v>1</v>
      </c>
      <c r="E41" s="123" t="s">
        <v>582</v>
      </c>
      <c r="F41" s="230">
        <v>1</v>
      </c>
      <c r="G41" s="123" t="s">
        <v>1058</v>
      </c>
      <c r="H41" s="230">
        <v>1</v>
      </c>
      <c r="I41" s="176" t="s">
        <v>1636</v>
      </c>
      <c r="J41" s="225">
        <f t="shared" ca="1" si="15"/>
        <v>8</v>
      </c>
      <c r="K41" s="228">
        <f t="shared" ca="1" si="7"/>
        <v>11</v>
      </c>
      <c r="L41" s="229">
        <f t="shared" ca="1" si="14"/>
        <v>11</v>
      </c>
      <c r="M41" s="232"/>
    </row>
    <row r="42" spans="1:13" s="167" customFormat="1" ht="22.5" customHeight="1">
      <c r="A42" s="99"/>
      <c r="B42" s="118" t="s">
        <v>1637</v>
      </c>
      <c r="C42" s="123" t="s">
        <v>1510</v>
      </c>
      <c r="D42" s="230">
        <v>1</v>
      </c>
      <c r="E42" s="123" t="s">
        <v>582</v>
      </c>
      <c r="F42" s="230">
        <v>1</v>
      </c>
      <c r="G42" s="123" t="s">
        <v>1058</v>
      </c>
      <c r="H42" s="230">
        <v>1</v>
      </c>
      <c r="I42" s="176" t="s">
        <v>1636</v>
      </c>
      <c r="J42" s="225">
        <f t="shared" ref="J42:J50" ca="1" si="22">djs(I42,1)*H42</f>
        <v>8</v>
      </c>
      <c r="K42" s="228">
        <f t="shared" ref="K42:K50" ca="1" si="23">((djs(I42,0)+djs(I42,1))*D42)*H42</f>
        <v>11</v>
      </c>
      <c r="L42" s="229">
        <f t="shared" ref="L42:L50" ca="1" si="24">((djs(I42,0)+djs(I42,1))*F42)*H42</f>
        <v>11</v>
      </c>
      <c r="M42" s="232"/>
    </row>
    <row r="43" spans="1:13" s="167" customFormat="1" ht="22.5" customHeight="1">
      <c r="A43" s="99"/>
      <c r="B43" s="118" t="s">
        <v>1644</v>
      </c>
      <c r="C43" s="231" t="s">
        <v>699</v>
      </c>
      <c r="D43" s="230">
        <v>2</v>
      </c>
      <c r="E43" s="231" t="s">
        <v>699</v>
      </c>
      <c r="F43" s="230">
        <v>1</v>
      </c>
      <c r="G43" s="123" t="s">
        <v>1612</v>
      </c>
      <c r="H43" s="230">
        <v>1</v>
      </c>
      <c r="I43" s="176" t="s">
        <v>1645</v>
      </c>
      <c r="J43" s="225">
        <f t="shared" ca="1" si="22"/>
        <v>28.1</v>
      </c>
      <c r="K43" s="228">
        <f t="shared" ca="1" si="23"/>
        <v>58.2</v>
      </c>
      <c r="L43" s="229">
        <f t="shared" ca="1" si="24"/>
        <v>29.1</v>
      </c>
      <c r="M43" s="232"/>
    </row>
    <row r="44" spans="1:13" s="167" customFormat="1" ht="22.5" customHeight="1">
      <c r="A44" s="99"/>
      <c r="B44" s="118" t="s">
        <v>1638</v>
      </c>
      <c r="C44" s="231" t="s">
        <v>699</v>
      </c>
      <c r="D44" s="230">
        <v>2</v>
      </c>
      <c r="E44" s="231" t="s">
        <v>699</v>
      </c>
      <c r="F44" s="230">
        <v>1</v>
      </c>
      <c r="G44" s="123" t="s">
        <v>1612</v>
      </c>
      <c r="H44" s="230">
        <v>1</v>
      </c>
      <c r="I44" s="176" t="s">
        <v>1646</v>
      </c>
      <c r="J44" s="225">
        <f t="shared" ca="1" si="22"/>
        <v>22.9</v>
      </c>
      <c r="K44" s="228">
        <f t="shared" ca="1" si="23"/>
        <v>47.8</v>
      </c>
      <c r="L44" s="229">
        <f t="shared" ca="1" si="24"/>
        <v>23.9</v>
      </c>
      <c r="M44" s="232"/>
    </row>
    <row r="45" spans="1:13" s="167" customFormat="1" ht="22.5" customHeight="1">
      <c r="A45" s="99"/>
      <c r="B45" s="118" t="s">
        <v>1639</v>
      </c>
      <c r="C45" s="231" t="s">
        <v>699</v>
      </c>
      <c r="D45" s="230">
        <v>2</v>
      </c>
      <c r="E45" s="231" t="s">
        <v>699</v>
      </c>
      <c r="F45" s="230">
        <v>1</v>
      </c>
      <c r="G45" s="123" t="s">
        <v>1612</v>
      </c>
      <c r="H45" s="230">
        <v>1</v>
      </c>
      <c r="I45" s="176" t="s">
        <v>1647</v>
      </c>
      <c r="J45" s="225">
        <f t="shared" ca="1" si="22"/>
        <v>13.2</v>
      </c>
      <c r="K45" s="228">
        <f t="shared" ca="1" si="23"/>
        <v>28.4</v>
      </c>
      <c r="L45" s="229">
        <f t="shared" ca="1" si="24"/>
        <v>14.2</v>
      </c>
      <c r="M45" s="232"/>
    </row>
    <row r="46" spans="1:13" s="167" customFormat="1" ht="22.5" customHeight="1">
      <c r="A46" s="99"/>
      <c r="B46" s="118" t="s">
        <v>1640</v>
      </c>
      <c r="C46" s="231" t="s">
        <v>699</v>
      </c>
      <c r="D46" s="230">
        <v>2</v>
      </c>
      <c r="E46" s="231" t="s">
        <v>699</v>
      </c>
      <c r="F46" s="230">
        <v>1</v>
      </c>
      <c r="G46" s="123" t="s">
        <v>1612</v>
      </c>
      <c r="H46" s="230">
        <v>1</v>
      </c>
      <c r="I46" s="176" t="s">
        <v>1648</v>
      </c>
      <c r="J46" s="225">
        <f t="shared" ca="1" si="22"/>
        <v>16.600000000000001</v>
      </c>
      <c r="K46" s="228">
        <f t="shared" ca="1" si="23"/>
        <v>35.200000000000003</v>
      </c>
      <c r="L46" s="229">
        <f t="shared" ca="1" si="24"/>
        <v>17.600000000000001</v>
      </c>
      <c r="M46" s="232"/>
    </row>
    <row r="47" spans="1:13" s="167" customFormat="1" ht="22.5" customHeight="1">
      <c r="A47" s="99"/>
      <c r="B47" s="118"/>
      <c r="C47" s="231" t="s">
        <v>699</v>
      </c>
      <c r="D47" s="230">
        <v>2</v>
      </c>
      <c r="E47" s="231" t="s">
        <v>699</v>
      </c>
      <c r="F47" s="230">
        <v>1</v>
      </c>
      <c r="G47" s="123" t="s">
        <v>1411</v>
      </c>
      <c r="H47" s="230">
        <v>1</v>
      </c>
      <c r="I47" s="176" t="s">
        <v>1649</v>
      </c>
      <c r="J47" s="225">
        <f t="shared" ref="J47" ca="1" si="25">djs(I47,1)*H47</f>
        <v>10</v>
      </c>
      <c r="K47" s="228">
        <f t="shared" ref="K47" ca="1" si="26">((djs(I47,0)+djs(I47,1))*D47)*H47</f>
        <v>20</v>
      </c>
      <c r="L47" s="229">
        <f t="shared" ref="L47" ca="1" si="27">((djs(I47,0)+djs(I47,1))*F47)*H47</f>
        <v>10</v>
      </c>
      <c r="M47" s="232"/>
    </row>
    <row r="48" spans="1:13" s="167" customFormat="1" ht="22.5" customHeight="1">
      <c r="A48" s="99"/>
      <c r="B48" s="118" t="s">
        <v>1641</v>
      </c>
      <c r="C48" s="231" t="s">
        <v>699</v>
      </c>
      <c r="D48" s="230">
        <v>2</v>
      </c>
      <c r="E48" s="231" t="s">
        <v>699</v>
      </c>
      <c r="F48" s="230">
        <v>1</v>
      </c>
      <c r="G48" s="123" t="s">
        <v>1612</v>
      </c>
      <c r="H48" s="230">
        <v>1</v>
      </c>
      <c r="I48" s="176" t="s">
        <v>1650</v>
      </c>
      <c r="J48" s="225">
        <f t="shared" ca="1" si="22"/>
        <v>13.7</v>
      </c>
      <c r="K48" s="228">
        <f t="shared" ca="1" si="23"/>
        <v>29.4</v>
      </c>
      <c r="L48" s="229">
        <f t="shared" ca="1" si="24"/>
        <v>14.7</v>
      </c>
      <c r="M48" s="232"/>
    </row>
    <row r="49" spans="1:13" s="167" customFormat="1" ht="22.5" customHeight="1">
      <c r="A49" s="99"/>
      <c r="B49" s="118" t="s">
        <v>1642</v>
      </c>
      <c r="C49" s="231" t="s">
        <v>699</v>
      </c>
      <c r="D49" s="230">
        <v>2</v>
      </c>
      <c r="E49" s="231" t="s">
        <v>699</v>
      </c>
      <c r="F49" s="230">
        <v>1</v>
      </c>
      <c r="G49" s="123" t="s">
        <v>1612</v>
      </c>
      <c r="H49" s="230">
        <v>1</v>
      </c>
      <c r="I49" s="176" t="s">
        <v>1651</v>
      </c>
      <c r="J49" s="225">
        <f t="shared" ca="1" si="22"/>
        <v>8.6999999999999993</v>
      </c>
      <c r="K49" s="228">
        <f t="shared" ca="1" si="23"/>
        <v>19.399999999999999</v>
      </c>
      <c r="L49" s="229">
        <f t="shared" ca="1" si="24"/>
        <v>9.6999999999999993</v>
      </c>
      <c r="M49" s="232"/>
    </row>
    <row r="50" spans="1:13" s="167" customFormat="1" ht="22.5" customHeight="1">
      <c r="A50" s="99"/>
      <c r="B50" s="118" t="s">
        <v>1643</v>
      </c>
      <c r="C50" s="231" t="s">
        <v>699</v>
      </c>
      <c r="D50" s="230">
        <v>2</v>
      </c>
      <c r="E50" s="231" t="s">
        <v>699</v>
      </c>
      <c r="F50" s="230">
        <v>1</v>
      </c>
      <c r="G50" s="123" t="s">
        <v>1612</v>
      </c>
      <c r="H50" s="230">
        <v>1</v>
      </c>
      <c r="I50" s="176" t="s">
        <v>1652</v>
      </c>
      <c r="J50" s="225">
        <f t="shared" ca="1" si="22"/>
        <v>2.9</v>
      </c>
      <c r="K50" s="228">
        <f t="shared" ca="1" si="23"/>
        <v>7.8</v>
      </c>
      <c r="L50" s="229">
        <f t="shared" ca="1" si="24"/>
        <v>3.9</v>
      </c>
      <c r="M50" s="232"/>
    </row>
    <row r="51" spans="1:13" s="167" customFormat="1" ht="22.5" customHeight="1">
      <c r="A51" s="99"/>
      <c r="B51" s="118" t="s">
        <v>1656</v>
      </c>
      <c r="C51" s="231" t="s">
        <v>699</v>
      </c>
      <c r="D51" s="230">
        <v>2</v>
      </c>
      <c r="E51" s="231" t="s">
        <v>699</v>
      </c>
      <c r="F51" s="230">
        <v>1</v>
      </c>
      <c r="G51" s="123" t="s">
        <v>1612</v>
      </c>
      <c r="H51" s="230">
        <v>1</v>
      </c>
      <c r="I51" s="176" t="s">
        <v>1653</v>
      </c>
      <c r="J51" s="225">
        <f t="shared" ca="1" si="15"/>
        <v>3.7</v>
      </c>
      <c r="K51" s="228">
        <f t="shared" ca="1" si="7"/>
        <v>9.4</v>
      </c>
      <c r="L51" s="229">
        <f t="shared" ca="1" si="14"/>
        <v>4.7</v>
      </c>
      <c r="M51" s="232"/>
    </row>
    <row r="52" spans="1:13" s="167" customFormat="1" ht="22.5" customHeight="1">
      <c r="A52" s="99"/>
      <c r="B52" s="118" t="s">
        <v>1657</v>
      </c>
      <c r="C52" s="231" t="s">
        <v>699</v>
      </c>
      <c r="D52" s="230">
        <v>2</v>
      </c>
      <c r="E52" s="231" t="s">
        <v>699</v>
      </c>
      <c r="F52" s="230">
        <v>1</v>
      </c>
      <c r="G52" s="123" t="s">
        <v>1612</v>
      </c>
      <c r="H52" s="230">
        <v>1</v>
      </c>
      <c r="I52" s="176" t="s">
        <v>1654</v>
      </c>
      <c r="J52" s="225">
        <f t="shared" ca="1" si="15"/>
        <v>15</v>
      </c>
      <c r="K52" s="228">
        <f t="shared" ca="1" si="7"/>
        <v>32</v>
      </c>
      <c r="L52" s="229">
        <f t="shared" ca="1" si="14"/>
        <v>16</v>
      </c>
      <c r="M52" s="232"/>
    </row>
    <row r="53" spans="1:13" s="167" customFormat="1" ht="22.5" customHeight="1">
      <c r="A53" s="99"/>
      <c r="B53" s="118" t="s">
        <v>1658</v>
      </c>
      <c r="C53" s="231" t="s">
        <v>699</v>
      </c>
      <c r="D53" s="230">
        <v>2</v>
      </c>
      <c r="E53" s="231" t="s">
        <v>699</v>
      </c>
      <c r="F53" s="230">
        <v>1</v>
      </c>
      <c r="G53" s="123" t="s">
        <v>1612</v>
      </c>
      <c r="H53" s="230">
        <v>1</v>
      </c>
      <c r="I53" s="176" t="s">
        <v>1655</v>
      </c>
      <c r="J53" s="225">
        <f t="shared" ca="1" si="15"/>
        <v>11.9</v>
      </c>
      <c r="K53" s="228">
        <f t="shared" ca="1" si="7"/>
        <v>25.8</v>
      </c>
      <c r="L53" s="229">
        <f t="shared" ca="1" si="14"/>
        <v>12.9</v>
      </c>
      <c r="M53" s="232"/>
    </row>
    <row r="54" spans="1:13" s="167" customFormat="1" ht="22.5" customHeight="1">
      <c r="A54" s="99"/>
      <c r="B54" s="118"/>
      <c r="C54" s="123"/>
      <c r="D54" s="230"/>
      <c r="E54" s="123"/>
      <c r="F54" s="230"/>
      <c r="G54" s="123"/>
      <c r="H54" s="230"/>
      <c r="I54" s="176"/>
      <c r="J54" s="225">
        <f t="shared" ca="1" si="15"/>
        <v>0</v>
      </c>
      <c r="K54" s="228">
        <f t="shared" ca="1" si="7"/>
        <v>0</v>
      </c>
      <c r="L54" s="229">
        <f t="shared" ca="1" si="14"/>
        <v>0</v>
      </c>
      <c r="M54" s="232"/>
    </row>
    <row r="55" spans="1:13" s="167" customFormat="1" ht="22.5" customHeight="1">
      <c r="A55" s="99"/>
      <c r="B55" s="118">
        <v>1</v>
      </c>
      <c r="C55" s="123" t="s">
        <v>1490</v>
      </c>
      <c r="D55" s="230">
        <v>1</v>
      </c>
      <c r="E55" s="123" t="s">
        <v>1491</v>
      </c>
      <c r="F55" s="230">
        <v>1</v>
      </c>
      <c r="G55" s="123" t="s">
        <v>1629</v>
      </c>
      <c r="H55" s="230">
        <v>1</v>
      </c>
      <c r="I55" s="176" t="s">
        <v>1659</v>
      </c>
      <c r="J55" s="225">
        <f t="shared" ca="1" si="15"/>
        <v>10.1</v>
      </c>
      <c r="K55" s="228">
        <f t="shared" ca="1" si="7"/>
        <v>11.1</v>
      </c>
      <c r="L55" s="229">
        <f t="shared" ca="1" si="14"/>
        <v>11.1</v>
      </c>
      <c r="M55" s="232"/>
    </row>
    <row r="56" spans="1:13" s="167" customFormat="1" ht="22.5" customHeight="1">
      <c r="A56" s="99"/>
      <c r="B56" s="118"/>
      <c r="C56" s="123" t="s">
        <v>1490</v>
      </c>
      <c r="D56" s="230">
        <v>1</v>
      </c>
      <c r="E56" s="123" t="s">
        <v>1491</v>
      </c>
      <c r="F56" s="230">
        <v>1</v>
      </c>
      <c r="G56" s="123" t="s">
        <v>992</v>
      </c>
      <c r="H56" s="230">
        <v>1</v>
      </c>
      <c r="I56" s="176">
        <v>8</v>
      </c>
      <c r="J56" s="225">
        <f t="shared" ref="J56:J57" ca="1" si="28">djs(I56,1)*H56</f>
        <v>8</v>
      </c>
      <c r="K56" s="228">
        <f t="shared" ref="K56:K57" ca="1" si="29">((djs(I56,0)+djs(I56,1))*D56)*H56</f>
        <v>8</v>
      </c>
      <c r="L56" s="229">
        <f t="shared" ref="L56:L57" ca="1" si="30">((djs(I56,0)+djs(I56,1))*F56)*H56</f>
        <v>8</v>
      </c>
      <c r="M56" s="232"/>
    </row>
    <row r="57" spans="1:13" s="167" customFormat="1" ht="22.5" customHeight="1">
      <c r="A57" s="99"/>
      <c r="B57" s="118">
        <v>2</v>
      </c>
      <c r="C57" s="123" t="s">
        <v>608</v>
      </c>
      <c r="D57" s="230">
        <v>1</v>
      </c>
      <c r="E57" s="123" t="s">
        <v>582</v>
      </c>
      <c r="F57" s="230">
        <v>1</v>
      </c>
      <c r="G57" s="123" t="s">
        <v>1629</v>
      </c>
      <c r="H57" s="230">
        <v>1</v>
      </c>
      <c r="I57" s="176" t="s">
        <v>1660</v>
      </c>
      <c r="J57" s="225">
        <f t="shared" ca="1" si="28"/>
        <v>9.1</v>
      </c>
      <c r="K57" s="228">
        <f t="shared" ca="1" si="29"/>
        <v>10.1</v>
      </c>
      <c r="L57" s="229">
        <f t="shared" ca="1" si="30"/>
        <v>10.1</v>
      </c>
      <c r="M57" s="232"/>
    </row>
    <row r="58" spans="1:13" s="167" customFormat="1" ht="22.5" customHeight="1">
      <c r="A58" s="99"/>
      <c r="B58" s="118"/>
      <c r="C58" s="123" t="s">
        <v>608</v>
      </c>
      <c r="D58" s="230">
        <v>1</v>
      </c>
      <c r="E58" s="123" t="s">
        <v>582</v>
      </c>
      <c r="F58" s="230">
        <v>1</v>
      </c>
      <c r="G58" s="123" t="s">
        <v>992</v>
      </c>
      <c r="H58" s="230">
        <v>1</v>
      </c>
      <c r="I58" s="176">
        <v>8</v>
      </c>
      <c r="J58" s="225">
        <f t="shared" ref="J58:J59" ca="1" si="31">djs(I58,1)*H58</f>
        <v>8</v>
      </c>
      <c r="K58" s="228">
        <f t="shared" ref="K58:K59" ca="1" si="32">((djs(I58,0)+djs(I58,1))*D58)*H58</f>
        <v>8</v>
      </c>
      <c r="L58" s="229">
        <f t="shared" ref="L58:L59" ca="1" si="33">((djs(I58,0)+djs(I58,1))*F58)*H58</f>
        <v>8</v>
      </c>
      <c r="M58" s="232"/>
    </row>
    <row r="59" spans="1:13" s="167" customFormat="1" ht="22.5" customHeight="1">
      <c r="A59" s="99"/>
      <c r="B59" s="118">
        <v>3</v>
      </c>
      <c r="C59" s="123" t="s">
        <v>608</v>
      </c>
      <c r="D59" s="230">
        <v>1</v>
      </c>
      <c r="E59" s="123" t="s">
        <v>582</v>
      </c>
      <c r="F59" s="230">
        <v>1</v>
      </c>
      <c r="G59" s="123" t="s">
        <v>1629</v>
      </c>
      <c r="H59" s="230">
        <v>1</v>
      </c>
      <c r="I59" s="176" t="s">
        <v>1661</v>
      </c>
      <c r="J59" s="225">
        <f t="shared" ca="1" si="31"/>
        <v>26.900000000000002</v>
      </c>
      <c r="K59" s="228">
        <f t="shared" ca="1" si="32"/>
        <v>27.900000000000002</v>
      </c>
      <c r="L59" s="229">
        <f t="shared" ca="1" si="33"/>
        <v>27.900000000000002</v>
      </c>
      <c r="M59" s="232"/>
    </row>
    <row r="60" spans="1:13" s="167" customFormat="1" ht="22.5" customHeight="1">
      <c r="A60" s="99"/>
      <c r="B60" s="118"/>
      <c r="C60" s="123" t="s">
        <v>608</v>
      </c>
      <c r="D60" s="230">
        <v>1</v>
      </c>
      <c r="E60" s="123" t="s">
        <v>582</v>
      </c>
      <c r="F60" s="230">
        <v>1</v>
      </c>
      <c r="G60" s="123" t="s">
        <v>992</v>
      </c>
      <c r="H60" s="230">
        <v>1</v>
      </c>
      <c r="I60" s="176">
        <v>10</v>
      </c>
      <c r="J60" s="225">
        <f t="shared" ref="J60:J62" ca="1" si="34">djs(I60,1)*H60</f>
        <v>10</v>
      </c>
      <c r="K60" s="228">
        <f t="shared" ref="K60:K62" ca="1" si="35">((djs(I60,0)+djs(I60,1))*D60)*H60</f>
        <v>10</v>
      </c>
      <c r="L60" s="229">
        <f t="shared" ref="L60:L62" ca="1" si="36">((djs(I60,0)+djs(I60,1))*F60)*H60</f>
        <v>10</v>
      </c>
      <c r="M60" s="232"/>
    </row>
    <row r="61" spans="1:13" s="167" customFormat="1" ht="22.5" customHeight="1">
      <c r="A61" s="99"/>
      <c r="B61" s="118">
        <v>4</v>
      </c>
      <c r="C61" s="123" t="s">
        <v>1490</v>
      </c>
      <c r="D61" s="230">
        <v>1</v>
      </c>
      <c r="E61" s="123" t="s">
        <v>1491</v>
      </c>
      <c r="F61" s="230">
        <v>1</v>
      </c>
      <c r="G61" s="123" t="s">
        <v>1629</v>
      </c>
      <c r="H61" s="230">
        <v>1</v>
      </c>
      <c r="I61" s="176" t="s">
        <v>1662</v>
      </c>
      <c r="J61" s="225">
        <f t="shared" ca="1" si="34"/>
        <v>24.9</v>
      </c>
      <c r="K61" s="228">
        <f t="shared" ca="1" si="35"/>
        <v>25.9</v>
      </c>
      <c r="L61" s="229">
        <f t="shared" ca="1" si="36"/>
        <v>25.9</v>
      </c>
      <c r="M61" s="232"/>
    </row>
    <row r="62" spans="1:13" s="167" customFormat="1" ht="22.5" customHeight="1">
      <c r="A62" s="99"/>
      <c r="B62" s="118"/>
      <c r="C62" s="123" t="s">
        <v>1490</v>
      </c>
      <c r="D62" s="230">
        <v>1</v>
      </c>
      <c r="E62" s="123" t="s">
        <v>1491</v>
      </c>
      <c r="F62" s="230">
        <v>1</v>
      </c>
      <c r="G62" s="123" t="s">
        <v>992</v>
      </c>
      <c r="H62" s="230">
        <v>1</v>
      </c>
      <c r="I62" s="176">
        <v>10</v>
      </c>
      <c r="J62" s="225">
        <f t="shared" ca="1" si="34"/>
        <v>10</v>
      </c>
      <c r="K62" s="228">
        <f t="shared" ca="1" si="35"/>
        <v>10</v>
      </c>
      <c r="L62" s="229">
        <f t="shared" ca="1" si="36"/>
        <v>10</v>
      </c>
      <c r="M62" s="232"/>
    </row>
    <row r="63" spans="1:13" s="167" customFormat="1" ht="22.5" customHeight="1">
      <c r="A63" s="99"/>
      <c r="B63" s="118"/>
      <c r="C63" s="123"/>
      <c r="D63" s="230"/>
      <c r="E63" s="123"/>
      <c r="F63" s="230"/>
      <c r="G63" s="123"/>
      <c r="H63" s="230"/>
      <c r="I63" s="176"/>
      <c r="J63" s="225">
        <f t="shared" ca="1" si="15"/>
        <v>0</v>
      </c>
      <c r="K63" s="228">
        <f t="shared" ca="1" si="7"/>
        <v>0</v>
      </c>
      <c r="L63" s="229">
        <f t="shared" ca="1" si="14"/>
        <v>0</v>
      </c>
      <c r="M63" s="232"/>
    </row>
    <row r="64" spans="1:13" s="167" customFormat="1" ht="22.5" customHeight="1">
      <c r="A64" s="99" t="s">
        <v>1663</v>
      </c>
      <c r="B64" s="118" t="s">
        <v>1628</v>
      </c>
      <c r="C64" s="231" t="s">
        <v>1664</v>
      </c>
      <c r="D64" s="230">
        <v>4</v>
      </c>
      <c r="E64" s="123"/>
      <c r="F64" s="230"/>
      <c r="G64" s="123" t="s">
        <v>1612</v>
      </c>
      <c r="H64" s="230">
        <v>1</v>
      </c>
      <c r="I64" s="176" t="s">
        <v>1665</v>
      </c>
      <c r="J64" s="225">
        <f t="shared" ca="1" si="15"/>
        <v>11.1</v>
      </c>
      <c r="K64" s="228">
        <f t="shared" ca="1" si="7"/>
        <v>52.4</v>
      </c>
      <c r="L64" s="229">
        <f t="shared" ca="1" si="14"/>
        <v>0</v>
      </c>
      <c r="M64" s="232"/>
    </row>
    <row r="65" spans="1:13" s="167" customFormat="1" ht="22.5" customHeight="1">
      <c r="A65" s="99"/>
      <c r="B65" s="118" t="s">
        <v>1666</v>
      </c>
      <c r="C65" s="231" t="s">
        <v>710</v>
      </c>
      <c r="D65" s="230">
        <v>2</v>
      </c>
      <c r="E65" s="123"/>
      <c r="F65" s="230"/>
      <c r="G65" s="123" t="s">
        <v>1612</v>
      </c>
      <c r="H65" s="230">
        <v>1</v>
      </c>
      <c r="I65" s="176" t="s">
        <v>1667</v>
      </c>
      <c r="J65" s="225">
        <f t="shared" ca="1" si="15"/>
        <v>33.299999999999997</v>
      </c>
      <c r="K65" s="228">
        <f t="shared" ca="1" si="7"/>
        <v>78.599999999999994</v>
      </c>
      <c r="L65" s="229">
        <f t="shared" ca="1" si="14"/>
        <v>0</v>
      </c>
      <c r="M65" s="232"/>
    </row>
    <row r="66" spans="1:13" s="167" customFormat="1" ht="22.5" customHeight="1">
      <c r="A66" s="99"/>
      <c r="B66" s="118"/>
      <c r="C66" s="231" t="s">
        <v>1664</v>
      </c>
      <c r="D66" s="230">
        <v>2</v>
      </c>
      <c r="E66" s="123"/>
      <c r="F66" s="230"/>
      <c r="G66" s="123" t="s">
        <v>1612</v>
      </c>
      <c r="H66" s="230">
        <v>1</v>
      </c>
      <c r="I66" s="176" t="s">
        <v>1667</v>
      </c>
      <c r="J66" s="225">
        <f t="shared" ca="1" si="15"/>
        <v>33.299999999999997</v>
      </c>
      <c r="K66" s="228">
        <f t="shared" ca="1" si="7"/>
        <v>78.599999999999994</v>
      </c>
      <c r="L66" s="229">
        <f t="shared" ca="1" si="14"/>
        <v>0</v>
      </c>
      <c r="M66" s="232"/>
    </row>
    <row r="67" spans="1:13" s="167" customFormat="1" ht="22.5" customHeight="1">
      <c r="A67" s="99"/>
      <c r="B67" s="118"/>
      <c r="C67" s="123"/>
      <c r="D67" s="230"/>
      <c r="E67" s="123"/>
      <c r="F67" s="230"/>
      <c r="G67" s="123"/>
      <c r="H67" s="230"/>
      <c r="I67" s="176"/>
      <c r="J67" s="225">
        <f t="shared" ca="1" si="15"/>
        <v>0</v>
      </c>
      <c r="K67" s="228">
        <f t="shared" ca="1" si="7"/>
        <v>0</v>
      </c>
      <c r="L67" s="229">
        <f t="shared" ca="1" si="14"/>
        <v>0</v>
      </c>
      <c r="M67" s="232"/>
    </row>
    <row r="68" spans="1:13" s="167" customFormat="1" ht="22.5" customHeight="1">
      <c r="A68" s="99"/>
      <c r="B68" s="118"/>
      <c r="C68" s="123"/>
      <c r="D68" s="230"/>
      <c r="E68" s="123"/>
      <c r="F68" s="230"/>
      <c r="G68" s="123"/>
      <c r="H68" s="230"/>
      <c r="I68" s="176"/>
      <c r="J68" s="225">
        <f t="shared" ca="1" si="15"/>
        <v>0</v>
      </c>
      <c r="K68" s="228">
        <f t="shared" ca="1" si="7"/>
        <v>0</v>
      </c>
      <c r="L68" s="229">
        <f t="shared" ca="1" si="14"/>
        <v>0</v>
      </c>
      <c r="M68" s="232"/>
    </row>
    <row r="69" spans="1:13" s="167" customFormat="1" ht="22.5" customHeight="1">
      <c r="A69" s="99"/>
      <c r="B69" s="118"/>
      <c r="C69" s="123"/>
      <c r="D69" s="230"/>
      <c r="E69" s="123"/>
      <c r="F69" s="230"/>
      <c r="G69" s="123"/>
      <c r="H69" s="230"/>
      <c r="I69" s="176"/>
      <c r="J69" s="225">
        <f t="shared" ca="1" si="15"/>
        <v>0</v>
      </c>
      <c r="K69" s="228">
        <f t="shared" ca="1" si="7"/>
        <v>0</v>
      </c>
      <c r="L69" s="229">
        <f t="shared" ca="1" si="14"/>
        <v>0</v>
      </c>
      <c r="M69" s="232"/>
    </row>
    <row r="70" spans="1:13" s="167" customFormat="1" ht="22.5" customHeight="1">
      <c r="A70" s="99"/>
      <c r="B70" s="118"/>
      <c r="C70" s="123"/>
      <c r="D70" s="230"/>
      <c r="E70" s="123"/>
      <c r="F70" s="230"/>
      <c r="G70" s="123"/>
      <c r="H70" s="230"/>
      <c r="I70" s="176"/>
      <c r="J70" s="225">
        <f t="shared" ca="1" si="15"/>
        <v>0</v>
      </c>
      <c r="K70" s="228">
        <f t="shared" ca="1" si="7"/>
        <v>0</v>
      </c>
      <c r="L70" s="229">
        <f t="shared" ca="1" si="14"/>
        <v>0</v>
      </c>
      <c r="M70" s="232"/>
    </row>
    <row r="71" spans="1:13" s="167" customFormat="1" ht="22.5" customHeight="1">
      <c r="A71" s="99"/>
      <c r="B71" s="118"/>
      <c r="C71" s="123"/>
      <c r="D71" s="230"/>
      <c r="E71" s="123"/>
      <c r="F71" s="230"/>
      <c r="G71" s="123"/>
      <c r="H71" s="230"/>
      <c r="I71" s="176"/>
      <c r="J71" s="225">
        <f t="shared" ca="1" si="15"/>
        <v>0</v>
      </c>
      <c r="K71" s="228">
        <f t="shared" ca="1" si="7"/>
        <v>0</v>
      </c>
      <c r="L71" s="229">
        <f t="shared" ca="1" si="14"/>
        <v>0</v>
      </c>
      <c r="M71" s="232"/>
    </row>
    <row r="72" spans="1:13" s="167" customFormat="1" ht="22.5" customHeight="1">
      <c r="A72" s="489"/>
      <c r="B72" s="395"/>
      <c r="C72" s="396"/>
      <c r="D72" s="397"/>
      <c r="E72" s="396"/>
      <c r="F72" s="397"/>
      <c r="G72" s="396"/>
      <c r="H72" s="397"/>
      <c r="I72" s="398"/>
      <c r="J72" s="399"/>
      <c r="K72" s="400"/>
      <c r="L72" s="401"/>
      <c r="M72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verticalDpi="300" r:id="rId1"/>
  <headerFooter alignWithMargins="0">
    <oddHeader>&amp;C&amp;"굴림체,굵게"&amp;14자 료 산 출 근 거 서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132">
    <tabColor rgb="FFFFFF00"/>
  </sheetPr>
  <dimension ref="A1:W26"/>
  <sheetViews>
    <sheetView showZeros="0" view="pageBreakPreview" zoomScaleSheetLayoutView="100" workbookViewId="0">
      <pane xSplit="3" ySplit="3" topLeftCell="D22" activePane="bottomRight" state="frozen"/>
      <selection activeCell="H20" sqref="H20"/>
      <selection pane="topRight" activeCell="H20" sqref="H20"/>
      <selection pane="bottomLeft" activeCell="H20" sqref="H20"/>
      <selection pane="bottomRight" activeCell="V27" sqref="V27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6.77734375" style="162" customWidth="1"/>
    <col min="22" max="22" width="4.77734375" style="162" customWidth="1"/>
    <col min="23" max="16384" width="8.88671875" style="162"/>
  </cols>
  <sheetData>
    <row r="1" spans="1:23" ht="21.95" customHeight="1">
      <c r="A1" s="676" t="str">
        <f>'2.간선(산)'!A1</f>
        <v xml:space="preserve">2. 전기간선설비공사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117"/>
    </row>
    <row r="2" spans="1:23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16" t="s">
        <v>1296</v>
      </c>
      <c r="R2" s="616"/>
      <c r="S2" s="616" t="s">
        <v>90</v>
      </c>
      <c r="T2" s="616"/>
      <c r="U2" s="616" t="s">
        <v>309</v>
      </c>
    </row>
    <row r="3" spans="1:23" ht="21.95" customHeight="1">
      <c r="A3" s="616"/>
      <c r="B3" s="616"/>
      <c r="C3" s="616"/>
      <c r="D3" s="101"/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616"/>
    </row>
    <row r="4" spans="1:23" ht="21.75" customHeight="1">
      <c r="A4" s="110" t="s">
        <v>1081</v>
      </c>
      <c r="B4" s="123" t="s">
        <v>1732</v>
      </c>
      <c r="C4" s="497" t="s">
        <v>407</v>
      </c>
      <c r="D4" s="84">
        <f ca="1">SUM(SUMIF('2.간선(산)'!$C$3:$C$26,B4,'2.간선(산)'!$K$3:$K$26),SUMIF('2.간선(산)'!$E$3:$E$26,B4,'2.간선(산)'!$L$3:$L$26),SUMIF('2.간선(산)'!$G$3:$G$26,B4,'2.간선(산)'!$J$3:$J$26))</f>
        <v>7</v>
      </c>
      <c r="E4" s="84"/>
      <c r="F4" s="84"/>
      <c r="G4" s="84"/>
      <c r="H4" s="84"/>
      <c r="I4" s="84"/>
      <c r="J4" s="112">
        <f t="shared" ref="J4:J7" ca="1" si="0">SUM(D4:I4)</f>
        <v>7</v>
      </c>
      <c r="K4" s="85">
        <v>0.1</v>
      </c>
      <c r="L4" s="22">
        <f t="shared" ref="L4:L7" ca="1" si="1">ROUND(J4+(J4*K4),0)</f>
        <v>8</v>
      </c>
      <c r="M4" s="86">
        <v>0.44</v>
      </c>
      <c r="N4" s="22">
        <f t="shared" ref="N4:N18" ca="1" si="2">ROUNDDOWN($J4*M4,4)</f>
        <v>3.08</v>
      </c>
      <c r="O4" s="86"/>
      <c r="P4" s="22"/>
      <c r="Q4" s="86"/>
      <c r="R4" s="22"/>
      <c r="S4" s="86"/>
      <c r="T4" s="22"/>
      <c r="U4" s="87" t="s">
        <v>102</v>
      </c>
    </row>
    <row r="5" spans="1:23" ht="21.75" customHeight="1">
      <c r="A5" s="110" t="s">
        <v>1081</v>
      </c>
      <c r="B5" s="123" t="s">
        <v>1799</v>
      </c>
      <c r="C5" s="497" t="s">
        <v>407</v>
      </c>
      <c r="D5" s="84">
        <f ca="1">SUM(SUMIF('2.간선(산)'!$C$3:$C$26,B5,'2.간선(산)'!$K$3:$K$26),SUMIF('2.간선(산)'!$E$3:$E$26,B5,'2.간선(산)'!$L$3:$L$26),SUMIF('2.간선(산)'!$G$3:$G$26,B5,'2.간선(산)'!$J$3:$J$26))</f>
        <v>5.5</v>
      </c>
      <c r="E5" s="84"/>
      <c r="F5" s="84"/>
      <c r="G5" s="84"/>
      <c r="H5" s="84"/>
      <c r="I5" s="84"/>
      <c r="J5" s="112">
        <f t="shared" ref="J5" ca="1" si="3">SUM(D5:I5)</f>
        <v>5.5</v>
      </c>
      <c r="K5" s="85">
        <v>0.1</v>
      </c>
      <c r="L5" s="22">
        <f t="shared" ref="L5" ca="1" si="4">ROUND(J5+(J5*K5),0)</f>
        <v>6</v>
      </c>
      <c r="M5" s="86">
        <v>0.54</v>
      </c>
      <c r="N5" s="22">
        <f t="shared" ca="1" si="2"/>
        <v>2.97</v>
      </c>
      <c r="O5" s="86"/>
      <c r="P5" s="22"/>
      <c r="Q5" s="86"/>
      <c r="R5" s="22"/>
      <c r="S5" s="86"/>
      <c r="T5" s="22"/>
      <c r="U5" s="87" t="s">
        <v>102</v>
      </c>
    </row>
    <row r="6" spans="1:23" ht="21.75" customHeight="1">
      <c r="A6" s="110" t="s">
        <v>1081</v>
      </c>
      <c r="B6" s="123" t="s">
        <v>1697</v>
      </c>
      <c r="C6" s="497" t="s">
        <v>407</v>
      </c>
      <c r="D6" s="84">
        <f ca="1">SUM(SUMIF('2.간선(산)'!$C$3:$C$26,B6,'2.간선(산)'!$K$3:$K$26),SUMIF('2.간선(산)'!$E$3:$E$26,B6,'2.간선(산)'!$L$3:$L$26),SUMIF('2.간선(산)'!$G$3:$G$26,B6,'2.간선(산)'!$J$3:$J$26))</f>
        <v>11</v>
      </c>
      <c r="E6" s="84"/>
      <c r="F6" s="84"/>
      <c r="G6" s="84"/>
      <c r="H6" s="84"/>
      <c r="I6" s="84"/>
      <c r="J6" s="112">
        <f t="shared" ref="J6" ca="1" si="5">SUM(D6:I6)</f>
        <v>11</v>
      </c>
      <c r="K6" s="85">
        <v>0.1</v>
      </c>
      <c r="L6" s="22">
        <f t="shared" ref="L6" ca="1" si="6">ROUND(J6+(J6*K6),0)</f>
        <v>12</v>
      </c>
      <c r="M6" s="86">
        <v>0.71</v>
      </c>
      <c r="N6" s="22">
        <f t="shared" ca="1" si="2"/>
        <v>7.81</v>
      </c>
      <c r="O6" s="86"/>
      <c r="P6" s="22"/>
      <c r="Q6" s="86"/>
      <c r="R6" s="22"/>
      <c r="S6" s="86"/>
      <c r="T6" s="22"/>
      <c r="U6" s="87" t="s">
        <v>102</v>
      </c>
    </row>
    <row r="7" spans="1:23" ht="21.95" customHeight="1">
      <c r="A7" s="110" t="s">
        <v>1221</v>
      </c>
      <c r="B7" s="123" t="s">
        <v>1509</v>
      </c>
      <c r="C7" s="497" t="s">
        <v>407</v>
      </c>
      <c r="D7" s="84">
        <f ca="1">SUM(SUMIF('2.간선(산)'!$C$3:$C$26,B7,'2.간선(산)'!$K$3:$K$26),SUMIF('2.간선(산)'!$E$3:$E$26,B7,'2.간선(산)'!$L$3:$L$26),SUMIF('2.간선(산)'!$G$3:$G$26,B7,'2.간선(산)'!$J$3:$J$26))</f>
        <v>255</v>
      </c>
      <c r="E7" s="84"/>
      <c r="F7" s="84"/>
      <c r="G7" s="84"/>
      <c r="H7" s="84"/>
      <c r="I7" s="84"/>
      <c r="J7" s="112">
        <f t="shared" ca="1" si="0"/>
        <v>255</v>
      </c>
      <c r="K7" s="85">
        <v>0.1</v>
      </c>
      <c r="L7" s="22">
        <f t="shared" ca="1" si="1"/>
        <v>281</v>
      </c>
      <c r="M7" s="86">
        <f>0.007*1.5</f>
        <v>1.0500000000000001E-2</v>
      </c>
      <c r="N7" s="22">
        <f t="shared" ca="1" si="2"/>
        <v>2.6775000000000002</v>
      </c>
      <c r="O7" s="86"/>
      <c r="P7" s="22"/>
      <c r="Q7" s="86"/>
      <c r="R7" s="22"/>
      <c r="S7" s="86"/>
      <c r="T7" s="22"/>
      <c r="U7" s="87" t="s">
        <v>961</v>
      </c>
      <c r="W7" s="162" t="s">
        <v>1845</v>
      </c>
    </row>
    <row r="8" spans="1:23" ht="21.95" customHeight="1">
      <c r="A8" s="110" t="s">
        <v>1221</v>
      </c>
      <c r="B8" s="123" t="s">
        <v>1788</v>
      </c>
      <c r="C8" s="497" t="s">
        <v>407</v>
      </c>
      <c r="D8" s="84">
        <f ca="1">SUM(SUMIF('2.간선(산)'!$C$3:$C$26,B8,'2.간선(산)'!$K$3:$K$26),SUMIF('2.간선(산)'!$E$3:$E$26,B8,'2.간선(산)'!$L$3:$L$26),SUMIF('2.간선(산)'!$G$3:$G$26,B8,'2.간선(산)'!$J$3:$J$26))</f>
        <v>130.5</v>
      </c>
      <c r="E8" s="84"/>
      <c r="F8" s="84"/>
      <c r="G8" s="84"/>
      <c r="H8" s="84"/>
      <c r="I8" s="84"/>
      <c r="J8" s="112">
        <f t="shared" ref="J8" ca="1" si="7">SUM(D8:I8)</f>
        <v>130.5</v>
      </c>
      <c r="K8" s="85">
        <v>0.1</v>
      </c>
      <c r="L8" s="22">
        <f t="shared" ref="L8:L10" ca="1" si="8">ROUND(J8+(J8*K8),0)</f>
        <v>144</v>
      </c>
      <c r="M8" s="86">
        <f>0.007*1.5</f>
        <v>1.0500000000000001E-2</v>
      </c>
      <c r="N8" s="22">
        <f t="shared" ca="1" si="2"/>
        <v>1.3702000000000001</v>
      </c>
      <c r="O8" s="86"/>
      <c r="P8" s="22"/>
      <c r="Q8" s="86"/>
      <c r="R8" s="22"/>
      <c r="S8" s="86"/>
      <c r="T8" s="22"/>
      <c r="U8" s="87" t="s">
        <v>961</v>
      </c>
    </row>
    <row r="9" spans="1:23" ht="21.95" customHeight="1">
      <c r="A9" s="110" t="s">
        <v>1221</v>
      </c>
      <c r="B9" s="123" t="s">
        <v>1761</v>
      </c>
      <c r="C9" s="497" t="s">
        <v>407</v>
      </c>
      <c r="D9" s="84">
        <f ca="1">SUM(SUMIF('2.간선(산)'!$C$3:$C$26,B9,'2.간선(산)'!$K$3:$K$26),SUMIF('2.간선(산)'!$E$3:$E$26,B9,'2.간선(산)'!$L$3:$L$26),SUMIF('2.간선(산)'!$G$3:$G$26,B9,'2.간선(산)'!$J$3:$J$26))</f>
        <v>15</v>
      </c>
      <c r="E9" s="84"/>
      <c r="F9" s="84"/>
      <c r="G9" s="84"/>
      <c r="H9" s="84"/>
      <c r="I9" s="84"/>
      <c r="J9" s="112">
        <f t="shared" ref="J9" ca="1" si="9">SUM(D9:I9)</f>
        <v>15</v>
      </c>
      <c r="K9" s="85">
        <v>0.1</v>
      </c>
      <c r="L9" s="22">
        <f t="shared" ca="1" si="8"/>
        <v>17</v>
      </c>
      <c r="M9" s="86">
        <f>0.008*1.5</f>
        <v>1.2E-2</v>
      </c>
      <c r="N9" s="22">
        <f t="shared" ref="N9:N10" ca="1" si="10">ROUNDDOWN($J9*M9,4)</f>
        <v>0.18</v>
      </c>
      <c r="O9" s="86"/>
      <c r="P9" s="22"/>
      <c r="Q9" s="86"/>
      <c r="R9" s="22"/>
      <c r="S9" s="86"/>
      <c r="T9" s="22"/>
      <c r="U9" s="87" t="s">
        <v>961</v>
      </c>
    </row>
    <row r="10" spans="1:23" ht="21.95" customHeight="1">
      <c r="A10" s="110" t="s">
        <v>1221</v>
      </c>
      <c r="B10" s="123" t="s">
        <v>1786</v>
      </c>
      <c r="C10" s="497" t="s">
        <v>407</v>
      </c>
      <c r="D10" s="84">
        <f ca="1">SUM(SUMIF('2.간선(산)'!$C$3:$C$26,B10,'2.간선(산)'!$K$3:$K$26),SUMIF('2.간선(산)'!$E$3:$E$26,B10,'2.간선(산)'!$L$3:$L$26),SUMIF('2.간선(산)'!$G$3:$G$26,B10,'2.간선(산)'!$J$3:$J$26))</f>
        <v>123</v>
      </c>
      <c r="E10" s="84"/>
      <c r="F10" s="84"/>
      <c r="G10" s="84"/>
      <c r="H10" s="84"/>
      <c r="I10" s="84"/>
      <c r="J10" s="112">
        <f t="shared" ref="J10" ca="1" si="11">SUM(D10:I10)</f>
        <v>123</v>
      </c>
      <c r="K10" s="85">
        <v>0.1</v>
      </c>
      <c r="L10" s="22">
        <f t="shared" ca="1" si="8"/>
        <v>135</v>
      </c>
      <c r="M10" s="86">
        <f>0.011*1.5</f>
        <v>1.6500000000000001E-2</v>
      </c>
      <c r="N10" s="22">
        <f t="shared" ca="1" si="10"/>
        <v>2.0295000000000001</v>
      </c>
      <c r="O10" s="86"/>
      <c r="P10" s="22"/>
      <c r="Q10" s="86"/>
      <c r="R10" s="22"/>
      <c r="S10" s="86"/>
      <c r="T10" s="22"/>
      <c r="U10" s="87" t="s">
        <v>961</v>
      </c>
    </row>
    <row r="11" spans="1:23" ht="21.95" customHeight="1">
      <c r="A11" s="110" t="s">
        <v>1823</v>
      </c>
      <c r="B11" s="123" t="s">
        <v>1787</v>
      </c>
      <c r="C11" s="497" t="s">
        <v>407</v>
      </c>
      <c r="D11" s="84">
        <f ca="1">SUM(SUMIF('2.간선(산)'!$C$3:$C$26,B11,'2.간선(산)'!$K$3:$K$26),SUMIF('2.간선(산)'!$E$3:$E$26,B11,'2.간선(산)'!$L$3:$L$26),SUMIF('2.간선(산)'!$G$3:$G$26,B11,'2.간선(산)'!$J$3:$J$26))</f>
        <v>492</v>
      </c>
      <c r="E11" s="84"/>
      <c r="F11" s="84"/>
      <c r="G11" s="84"/>
      <c r="H11" s="84"/>
      <c r="I11" s="84"/>
      <c r="J11" s="112">
        <f t="shared" ref="J11" ca="1" si="12">SUM(D11:I11)</f>
        <v>492</v>
      </c>
      <c r="K11" s="85">
        <v>0.05</v>
      </c>
      <c r="L11" s="22">
        <f t="shared" ref="L11" ca="1" si="13">ROUND(J11+(J11*K11),0)</f>
        <v>517</v>
      </c>
      <c r="M11" s="86"/>
      <c r="N11" s="22">
        <f t="shared" ca="1" si="2"/>
        <v>0</v>
      </c>
      <c r="O11" s="86">
        <f>0.043*3.4/4</f>
        <v>3.6549999999999999E-2</v>
      </c>
      <c r="P11" s="22">
        <f t="shared" ref="P11" ca="1" si="14">ROUNDDOWN($J11*O11,4)</f>
        <v>17.982600000000001</v>
      </c>
      <c r="Q11" s="86"/>
      <c r="R11" s="22"/>
      <c r="S11" s="86"/>
      <c r="T11" s="22"/>
      <c r="U11" s="87" t="s">
        <v>1396</v>
      </c>
      <c r="W11" s="162" t="s">
        <v>1844</v>
      </c>
    </row>
    <row r="12" spans="1:23" ht="21.95" customHeight="1">
      <c r="A12" s="110" t="s">
        <v>391</v>
      </c>
      <c r="B12" s="110" t="s">
        <v>1408</v>
      </c>
      <c r="C12" s="497" t="s">
        <v>407</v>
      </c>
      <c r="D12" s="84">
        <f ca="1">SUM(SUMIF('2.간선(산)'!$C$3:$C$26,B12,'2.간선(산)'!$K$3:$K$26),SUMIF('2.간선(산)'!$E$3:$E$26,B12,'2.간선(산)'!$L$3:$L$26),SUMIF('2.간선(산)'!$G$3:$G$26,B12,'2.간선(산)'!$J$3:$J$26))</f>
        <v>123</v>
      </c>
      <c r="E12" s="84"/>
      <c r="F12" s="84"/>
      <c r="G12" s="84"/>
      <c r="H12" s="84"/>
      <c r="I12" s="84"/>
      <c r="J12" s="112">
        <f t="shared" ref="J12" ca="1" si="15">SUM(D12:I12)</f>
        <v>123</v>
      </c>
      <c r="K12" s="85">
        <v>0.05</v>
      </c>
      <c r="L12" s="22">
        <f t="shared" ref="L12" ca="1" si="16">ROUND(J12+(J12*K12),0)</f>
        <v>129</v>
      </c>
      <c r="M12" s="86"/>
      <c r="N12" s="22">
        <f t="shared" ref="N12" ca="1" si="17">ROUNDDOWN($J12*M12,4)</f>
        <v>0</v>
      </c>
      <c r="O12" s="86">
        <f>0.023*2.6</f>
        <v>5.9799999999999999E-2</v>
      </c>
      <c r="P12" s="22">
        <f t="shared" ref="P12" ca="1" si="18">ROUNDDOWN($J12*O12,4)</f>
        <v>7.3554000000000004</v>
      </c>
      <c r="Q12" s="86"/>
      <c r="R12" s="22"/>
      <c r="S12" s="86"/>
      <c r="T12" s="22"/>
      <c r="U12" s="87" t="s">
        <v>1396</v>
      </c>
    </row>
    <row r="13" spans="1:23" ht="21.75" customHeight="1">
      <c r="A13" s="110" t="s">
        <v>1502</v>
      </c>
      <c r="B13" s="123" t="s">
        <v>1797</v>
      </c>
      <c r="C13" s="497" t="s">
        <v>407</v>
      </c>
      <c r="D13" s="84">
        <f ca="1">SUM(SUMIF('2.간선(산)'!$C$3:$C$26,B13,'2.간선(산)'!$K$3:$K$26),SUMIF('2.간선(산)'!$E$3:$E$26,B13,'2.간선(산)'!$L$3:$L$26),SUMIF('2.간선(산)'!$G$3:$G$26,B13,'2.간선(산)'!$J$3:$J$26))</f>
        <v>30</v>
      </c>
      <c r="E13" s="84"/>
      <c r="F13" s="84"/>
      <c r="G13" s="84"/>
      <c r="H13" s="84"/>
      <c r="I13" s="84"/>
      <c r="J13" s="112">
        <f t="shared" ref="J13" ca="1" si="19">SUM(D13:I13)</f>
        <v>30</v>
      </c>
      <c r="K13" s="85">
        <v>0.05</v>
      </c>
      <c r="L13" s="22">
        <f t="shared" ref="L13" ca="1" si="20">ROUND(J13+(J13*K13),0)</f>
        <v>32</v>
      </c>
      <c r="M13" s="86"/>
      <c r="N13" s="22">
        <f t="shared" ref="N13" ca="1" si="21">ROUNDDOWN($J13*M13,4)</f>
        <v>0</v>
      </c>
      <c r="O13" s="86">
        <f>0.043*3.4/4</f>
        <v>3.6549999999999999E-2</v>
      </c>
      <c r="P13" s="22">
        <f t="shared" ref="P13" ca="1" si="22">ROUNDDOWN($J13*O13,4)</f>
        <v>1.0965</v>
      </c>
      <c r="Q13" s="86"/>
      <c r="R13" s="22"/>
      <c r="S13" s="86"/>
      <c r="T13" s="22"/>
      <c r="U13" s="87" t="s">
        <v>1396</v>
      </c>
    </row>
    <row r="14" spans="1:23" ht="21.95" customHeight="1">
      <c r="A14" s="110" t="s">
        <v>1502</v>
      </c>
      <c r="B14" s="123" t="s">
        <v>1783</v>
      </c>
      <c r="C14" s="497" t="s">
        <v>407</v>
      </c>
      <c r="D14" s="84">
        <f ca="1">SUM(SUMIF('2.간선(산)'!$C$3:$C$26,B14,'2.간선(산)'!$K$3:$K$26),SUMIF('2.간선(산)'!$E$3:$E$26,B14,'2.간선(산)'!$L$3:$L$26),SUMIF('2.간선(산)'!$G$3:$G$26,B14,'2.간선(산)'!$J$3:$J$26))</f>
        <v>60</v>
      </c>
      <c r="E14" s="84"/>
      <c r="F14" s="84"/>
      <c r="G14" s="84"/>
      <c r="H14" s="84"/>
      <c r="I14" s="84"/>
      <c r="J14" s="112">
        <f t="shared" ref="J14" ca="1" si="23">SUM(D14:I14)</f>
        <v>60</v>
      </c>
      <c r="K14" s="85">
        <v>0.05</v>
      </c>
      <c r="L14" s="22">
        <f t="shared" ref="L14:L16" ca="1" si="24">ROUND(J14+(J14*K14),0)</f>
        <v>63</v>
      </c>
      <c r="M14" s="86"/>
      <c r="N14" s="22">
        <f t="shared" ca="1" si="2"/>
        <v>0</v>
      </c>
      <c r="O14" s="86">
        <f>0.071*3.4/4</f>
        <v>6.0349999999999994E-2</v>
      </c>
      <c r="P14" s="22">
        <f t="shared" ref="P14:P16" ca="1" si="25">ROUNDDOWN($J14*O14,4)</f>
        <v>3.621</v>
      </c>
      <c r="Q14" s="86"/>
      <c r="R14" s="22"/>
      <c r="S14" s="86"/>
      <c r="T14" s="22"/>
      <c r="U14" s="87" t="s">
        <v>1396</v>
      </c>
    </row>
    <row r="15" spans="1:23" ht="21.95" customHeight="1">
      <c r="A15" s="110" t="s">
        <v>1502</v>
      </c>
      <c r="B15" s="123" t="s">
        <v>1785</v>
      </c>
      <c r="C15" s="497" t="s">
        <v>407</v>
      </c>
      <c r="D15" s="84">
        <f ca="1">SUM(SUMIF('2.간선(산)'!$C$3:$C$26,B15,'2.간선(산)'!$K$3:$K$26),SUMIF('2.간선(산)'!$E$3:$E$26,B15,'2.간선(산)'!$L$3:$L$26),SUMIF('2.간선(산)'!$G$3:$G$26,B15,'2.간선(산)'!$J$3:$J$26))</f>
        <v>492</v>
      </c>
      <c r="E15" s="84"/>
      <c r="F15" s="84"/>
      <c r="G15" s="84"/>
      <c r="H15" s="84"/>
      <c r="I15" s="84"/>
      <c r="J15" s="112">
        <f t="shared" ref="J15" ca="1" si="26">SUM(D15:I15)</f>
        <v>492</v>
      </c>
      <c r="K15" s="85">
        <v>0.05</v>
      </c>
      <c r="L15" s="22">
        <f t="shared" ca="1" si="24"/>
        <v>517</v>
      </c>
      <c r="M15" s="86"/>
      <c r="N15" s="22">
        <f t="shared" ca="1" si="2"/>
        <v>0</v>
      </c>
      <c r="O15" s="86">
        <f>0.136*3.4/4</f>
        <v>0.11560000000000001</v>
      </c>
      <c r="P15" s="22">
        <f t="shared" ca="1" si="25"/>
        <v>56.8752</v>
      </c>
      <c r="Q15" s="86"/>
      <c r="R15" s="22"/>
      <c r="S15" s="86"/>
      <c r="T15" s="22"/>
      <c r="U15" s="87" t="s">
        <v>1396</v>
      </c>
    </row>
    <row r="16" spans="1:23" ht="21.95" customHeight="1">
      <c r="A16" s="110" t="s">
        <v>1502</v>
      </c>
      <c r="B16" s="123" t="s">
        <v>1802</v>
      </c>
      <c r="C16" s="497" t="s">
        <v>407</v>
      </c>
      <c r="D16" s="84">
        <f ca="1">SUM(SUMIF('2.간선(산)'!$C$3:$C$26,B16,'2.간선(산)'!$K$3:$K$26),SUMIF('2.간선(산)'!$E$3:$E$26,B16,'2.간선(산)'!$L$3:$L$26),SUMIF('2.간선(산)'!$G$3:$G$26,B16,'2.간선(산)'!$J$3:$J$26))</f>
        <v>123</v>
      </c>
      <c r="E16" s="84"/>
      <c r="F16" s="84"/>
      <c r="G16" s="84"/>
      <c r="H16" s="84"/>
      <c r="I16" s="84"/>
      <c r="J16" s="112">
        <f t="shared" ref="J16" ca="1" si="27">SUM(D16:I16)</f>
        <v>123</v>
      </c>
      <c r="K16" s="85">
        <v>0.05</v>
      </c>
      <c r="L16" s="22">
        <f t="shared" ca="1" si="24"/>
        <v>129</v>
      </c>
      <c r="M16" s="86"/>
      <c r="N16" s="22">
        <f t="shared" ref="N16" ca="1" si="28">ROUNDDOWN($J16*M16,4)</f>
        <v>0</v>
      </c>
      <c r="O16" s="86">
        <f>0.023*2.6</f>
        <v>5.9799999999999999E-2</v>
      </c>
      <c r="P16" s="22">
        <f t="shared" ca="1" si="25"/>
        <v>7.3554000000000004</v>
      </c>
      <c r="Q16" s="86"/>
      <c r="R16" s="22"/>
      <c r="S16" s="86"/>
      <c r="T16" s="22"/>
      <c r="U16" s="87" t="s">
        <v>1396</v>
      </c>
    </row>
    <row r="17" spans="1:22" ht="21.95" customHeight="1">
      <c r="A17" s="110" t="s">
        <v>1699</v>
      </c>
      <c r="B17" s="123" t="s">
        <v>1698</v>
      </c>
      <c r="C17" s="497" t="s">
        <v>407</v>
      </c>
      <c r="D17" s="84">
        <f ca="1">SUM(SUMIF('2.간선(산)'!$C$3:$C$26,B17,'2.간선(산)'!$K$3:$K$26),SUMIF('2.간선(산)'!$E$3:$E$26,B17,'2.간선(산)'!$L$3:$L$26),SUMIF('2.간선(산)'!$G$3:$G$26,B17,'2.간선(산)'!$J$3:$J$26))</f>
        <v>9</v>
      </c>
      <c r="E17" s="84"/>
      <c r="F17" s="84"/>
      <c r="G17" s="84"/>
      <c r="H17" s="84"/>
      <c r="I17" s="84"/>
      <c r="J17" s="112">
        <f t="shared" ref="J17" ca="1" si="29">SUM(D17:I17)</f>
        <v>9</v>
      </c>
      <c r="K17" s="85">
        <v>0.05</v>
      </c>
      <c r="L17" s="22">
        <f t="shared" ref="L17" ca="1" si="30">ROUND(J17+(J17*K17),0)</f>
        <v>9</v>
      </c>
      <c r="M17" s="86"/>
      <c r="N17" s="22">
        <f t="shared" ca="1" si="2"/>
        <v>0</v>
      </c>
      <c r="O17" s="86">
        <f>0.036*2.6</f>
        <v>9.3600000000000003E-2</v>
      </c>
      <c r="P17" s="22">
        <f t="shared" ref="P17" ca="1" si="31">ROUNDDOWN($J17*O17,4)</f>
        <v>0.84240000000000004</v>
      </c>
      <c r="Q17" s="86"/>
      <c r="R17" s="22"/>
      <c r="S17" s="86"/>
      <c r="T17" s="22"/>
      <c r="U17" s="87" t="s">
        <v>1396</v>
      </c>
    </row>
    <row r="18" spans="1:22" ht="21.95" customHeight="1">
      <c r="A18" s="110" t="s">
        <v>1392</v>
      </c>
      <c r="B18" s="110" t="s">
        <v>1735</v>
      </c>
      <c r="C18" s="492" t="s">
        <v>419</v>
      </c>
      <c r="D18" s="84">
        <v>1</v>
      </c>
      <c r="E18" s="498"/>
      <c r="F18" s="498"/>
      <c r="G18" s="498"/>
      <c r="H18" s="84"/>
      <c r="I18" s="84"/>
      <c r="J18" s="112">
        <f t="shared" ref="J18" si="32">SUM(D18:I18)</f>
        <v>1</v>
      </c>
      <c r="K18" s="85"/>
      <c r="L18" s="22">
        <f t="shared" ref="L18" si="33">ROUND(J18+(J18*K18),0)</f>
        <v>1</v>
      </c>
      <c r="M18" s="86">
        <f>0.35</f>
        <v>0.35</v>
      </c>
      <c r="N18" s="22">
        <f t="shared" si="2"/>
        <v>0.35</v>
      </c>
      <c r="O18" s="86"/>
      <c r="P18" s="22"/>
      <c r="Q18" s="86"/>
      <c r="R18" s="22"/>
      <c r="S18" s="86"/>
      <c r="T18" s="22"/>
      <c r="U18" s="87" t="s">
        <v>1201</v>
      </c>
    </row>
    <row r="19" spans="1:22" ht="21.95" customHeight="1">
      <c r="A19" s="110" t="s">
        <v>1825</v>
      </c>
      <c r="B19" s="123" t="s">
        <v>1733</v>
      </c>
      <c r="C19" s="492" t="s">
        <v>594</v>
      </c>
      <c r="D19" s="498">
        <f ca="1">INT(D4/1.5)</f>
        <v>4</v>
      </c>
      <c r="E19" s="498"/>
      <c r="F19" s="498"/>
      <c r="G19" s="498"/>
      <c r="H19" s="84"/>
      <c r="I19" s="84"/>
      <c r="J19" s="112">
        <f t="shared" ref="J19:J22" ca="1" si="34">SUM(D19:I19)</f>
        <v>4</v>
      </c>
      <c r="K19" s="85"/>
      <c r="L19" s="22">
        <f t="shared" ref="L19:L22" ca="1" si="35">ROUND(J19+(J19*K19),0)</f>
        <v>4</v>
      </c>
      <c r="M19" s="86"/>
      <c r="N19" s="22">
        <f t="shared" ref="N19:N21" ca="1" si="36">ROUNDDOWN($J19*M19,4)</f>
        <v>0</v>
      </c>
      <c r="O19" s="86"/>
      <c r="P19" s="22"/>
      <c r="Q19" s="86"/>
      <c r="R19" s="22"/>
      <c r="S19" s="86"/>
      <c r="T19" s="22"/>
      <c r="U19" s="87"/>
    </row>
    <row r="20" spans="1:22" ht="21.95" customHeight="1">
      <c r="A20" s="110" t="s">
        <v>1825</v>
      </c>
      <c r="B20" s="123" t="s">
        <v>1809</v>
      </c>
      <c r="C20" s="492" t="s">
        <v>594</v>
      </c>
      <c r="D20" s="498">
        <f ca="1">INT(D5/1.5)</f>
        <v>3</v>
      </c>
      <c r="E20" s="498"/>
      <c r="F20" s="498"/>
      <c r="G20" s="498"/>
      <c r="H20" s="84"/>
      <c r="I20" s="84"/>
      <c r="J20" s="112">
        <f t="shared" ca="1" si="34"/>
        <v>3</v>
      </c>
      <c r="K20" s="85"/>
      <c r="L20" s="22">
        <f t="shared" ca="1" si="35"/>
        <v>3</v>
      </c>
      <c r="M20" s="86"/>
      <c r="N20" s="22">
        <f t="shared" ca="1" si="36"/>
        <v>0</v>
      </c>
      <c r="O20" s="86"/>
      <c r="P20" s="22"/>
      <c r="Q20" s="86"/>
      <c r="R20" s="22"/>
      <c r="S20" s="86"/>
      <c r="T20" s="22"/>
      <c r="U20" s="87"/>
    </row>
    <row r="21" spans="1:22" ht="21.95" customHeight="1">
      <c r="A21" s="110" t="s">
        <v>1825</v>
      </c>
      <c r="B21" s="123" t="s">
        <v>1103</v>
      </c>
      <c r="C21" s="492" t="s">
        <v>594</v>
      </c>
      <c r="D21" s="498">
        <f ca="1">INT(D6/1.5)</f>
        <v>7</v>
      </c>
      <c r="E21" s="498"/>
      <c r="F21" s="498"/>
      <c r="G21" s="498"/>
      <c r="H21" s="84"/>
      <c r="I21" s="84"/>
      <c r="J21" s="112">
        <f t="shared" ca="1" si="34"/>
        <v>7</v>
      </c>
      <c r="K21" s="85"/>
      <c r="L21" s="22">
        <f t="shared" ca="1" si="35"/>
        <v>7</v>
      </c>
      <c r="M21" s="86"/>
      <c r="N21" s="22">
        <f t="shared" ca="1" si="36"/>
        <v>0</v>
      </c>
      <c r="O21" s="86"/>
      <c r="P21" s="22"/>
      <c r="Q21" s="86"/>
      <c r="R21" s="22"/>
      <c r="S21" s="86"/>
      <c r="T21" s="22"/>
      <c r="U21" s="87"/>
    </row>
    <row r="22" spans="1:22" ht="21.95" customHeight="1">
      <c r="A22" s="110" t="s">
        <v>1812</v>
      </c>
      <c r="B22" s="110"/>
      <c r="C22" s="492" t="s">
        <v>98</v>
      </c>
      <c r="D22" s="84">
        <v>1</v>
      </c>
      <c r="E22" s="498"/>
      <c r="F22" s="498"/>
      <c r="G22" s="498"/>
      <c r="H22" s="84"/>
      <c r="I22" s="84"/>
      <c r="J22" s="112">
        <f t="shared" si="34"/>
        <v>1</v>
      </c>
      <c r="K22" s="85"/>
      <c r="L22" s="22">
        <f t="shared" si="35"/>
        <v>1</v>
      </c>
      <c r="M22" s="86"/>
      <c r="N22" s="22"/>
      <c r="O22" s="86"/>
      <c r="P22" s="22"/>
      <c r="Q22" s="86"/>
      <c r="R22" s="22"/>
      <c r="S22" s="86"/>
      <c r="T22" s="22"/>
      <c r="U22" s="87"/>
    </row>
    <row r="23" spans="1:22" ht="21.95" customHeight="1">
      <c r="A23" s="110"/>
      <c r="B23" s="110"/>
      <c r="C23" s="492"/>
      <c r="D23" s="84"/>
      <c r="E23" s="498"/>
      <c r="F23" s="498"/>
      <c r="G23" s="498"/>
      <c r="H23" s="84"/>
      <c r="I23" s="84"/>
      <c r="J23" s="112">
        <f t="shared" ref="J23" si="37">SUM(D23:I23)</f>
        <v>0</v>
      </c>
      <c r="K23" s="85"/>
      <c r="L23" s="22">
        <f t="shared" ref="L23" si="38">ROUND(J23+(J23*K23),0)</f>
        <v>0</v>
      </c>
      <c r="M23" s="86"/>
      <c r="N23" s="22"/>
      <c r="O23" s="86"/>
      <c r="P23" s="22"/>
      <c r="Q23" s="86"/>
      <c r="R23" s="22"/>
      <c r="S23" s="86"/>
      <c r="T23" s="22"/>
      <c r="U23" s="87"/>
    </row>
    <row r="24" spans="1:22" ht="21.95" customHeight="1">
      <c r="A24" s="110"/>
      <c r="B24" s="110"/>
      <c r="C24" s="492"/>
      <c r="D24" s="84"/>
      <c r="E24" s="498"/>
      <c r="F24" s="498"/>
      <c r="G24" s="498"/>
      <c r="H24" s="84"/>
      <c r="I24" s="84"/>
      <c r="J24" s="112"/>
      <c r="K24" s="85"/>
      <c r="L24" s="22"/>
      <c r="M24" s="86"/>
      <c r="N24" s="22"/>
      <c r="O24" s="86"/>
      <c r="P24" s="22"/>
      <c r="Q24" s="86"/>
      <c r="R24" s="22"/>
      <c r="S24" s="86"/>
      <c r="T24" s="22"/>
      <c r="U24" s="87"/>
    </row>
    <row r="25" spans="1:22" ht="21.95" customHeight="1">
      <c r="A25" s="110"/>
      <c r="B25" s="110"/>
      <c r="C25" s="492"/>
      <c r="D25" s="84"/>
      <c r="E25" s="498"/>
      <c r="F25" s="498"/>
      <c r="G25" s="498"/>
      <c r="H25" s="84"/>
      <c r="I25" s="84"/>
      <c r="J25" s="112"/>
      <c r="K25" s="85"/>
      <c r="L25" s="22"/>
      <c r="M25" s="86"/>
      <c r="N25" s="22"/>
      <c r="O25" s="86"/>
      <c r="P25" s="22"/>
      <c r="Q25" s="86"/>
      <c r="R25" s="22"/>
      <c r="S25" s="86"/>
      <c r="T25" s="22"/>
      <c r="U25" s="87"/>
    </row>
    <row r="26" spans="1:22" ht="21.95" customHeight="1">
      <c r="A26" s="112" t="s">
        <v>312</v>
      </c>
      <c r="B26" s="112"/>
      <c r="C26" s="112"/>
      <c r="D26" s="112"/>
      <c r="E26" s="112"/>
      <c r="F26" s="112"/>
      <c r="G26" s="112"/>
      <c r="H26" s="112"/>
      <c r="I26" s="112"/>
      <c r="J26" s="90"/>
      <c r="K26" s="91"/>
      <c r="L26" s="22"/>
      <c r="M26" s="84"/>
      <c r="N26" s="84">
        <f ca="1">ROUNDDOWN(SUM(N3:N25)*$V26,1)</f>
        <v>16.7</v>
      </c>
      <c r="O26" s="89"/>
      <c r="P26" s="84">
        <f ca="1">ROUNDDOWN(SUM(P3:P25)*$V26,1)</f>
        <v>78</v>
      </c>
      <c r="Q26" s="84"/>
      <c r="R26" s="84">
        <f>ROUNDDOWN(SUM(R3:R21)*$V26,1)</f>
        <v>0</v>
      </c>
      <c r="S26" s="89"/>
      <c r="T26" s="84">
        <f>ROUNDDOWN(SUM(T3:T21)*$V26,1)</f>
        <v>0</v>
      </c>
      <c r="U26" s="87"/>
      <c r="V26" s="119">
        <v>0.82</v>
      </c>
    </row>
  </sheetData>
  <mergeCells count="13">
    <mergeCell ref="U2:U3"/>
    <mergeCell ref="K2:K3"/>
    <mergeCell ref="L2:L3"/>
    <mergeCell ref="M2:N2"/>
    <mergeCell ref="O2:P2"/>
    <mergeCell ref="Q2:R2"/>
    <mergeCell ref="S2:T2"/>
    <mergeCell ref="J2:J3"/>
    <mergeCell ref="A1:B1"/>
    <mergeCell ref="A2:A3"/>
    <mergeCell ref="B2:B3"/>
    <mergeCell ref="C2:C3"/>
    <mergeCell ref="D2:I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&amp;C&amp;"굴림체,굵게"&amp;14자 료 산 출 근 거 서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74"/>
  <dimension ref="A1:X26"/>
  <sheetViews>
    <sheetView showZeros="0" view="pageBreakPreview" zoomScaleSheetLayoutView="100" workbookViewId="0">
      <pane xSplit="2" ySplit="2" topLeftCell="C3" activePane="bottomRight" state="frozen"/>
      <selection activeCell="H20" sqref="H20"/>
      <selection pane="topRight" activeCell="H20" sqref="H20"/>
      <selection pane="bottomLeft" activeCell="H20" sqref="H20"/>
      <selection pane="bottomRight" activeCell="I19" sqref="I19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1694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379" t="s">
        <v>1696</v>
      </c>
      <c r="B3" s="118"/>
      <c r="C3" s="123"/>
      <c r="D3" s="230"/>
      <c r="E3" s="123"/>
      <c r="F3" s="230"/>
      <c r="G3" s="123"/>
      <c r="H3" s="230"/>
      <c r="I3" s="176"/>
      <c r="J3" s="225"/>
      <c r="K3" s="228"/>
      <c r="L3" s="229"/>
      <c r="M3" s="232"/>
    </row>
    <row r="4" spans="1:24" s="167" customFormat="1" ht="22.5" customHeight="1">
      <c r="A4" s="99" t="s">
        <v>1795</v>
      </c>
      <c r="B4" s="118" t="s">
        <v>1800</v>
      </c>
      <c r="C4" s="123" t="s">
        <v>1802</v>
      </c>
      <c r="D4" s="230">
        <v>1</v>
      </c>
      <c r="E4" s="123" t="s">
        <v>381</v>
      </c>
      <c r="F4" s="230">
        <v>1</v>
      </c>
      <c r="G4" s="123" t="s">
        <v>1798</v>
      </c>
      <c r="H4" s="230">
        <v>1</v>
      </c>
      <c r="I4" s="176" t="s">
        <v>1840</v>
      </c>
      <c r="J4" s="225">
        <f t="shared" ref="J4:J22" ca="1" si="0">djs(I4,1)*H4</f>
        <v>0</v>
      </c>
      <c r="K4" s="228">
        <f t="shared" ref="K4:K22" ca="1" si="1">((djs(I4,0)+djs(I4,1))*D4)*H4</f>
        <v>123</v>
      </c>
      <c r="L4" s="229">
        <f t="shared" ref="L4:L22" ca="1" si="2">((djs(I4,0)+djs(I4,1))*F4)*H4</f>
        <v>123</v>
      </c>
      <c r="M4" s="232"/>
    </row>
    <row r="5" spans="1:24" s="167" customFormat="1" ht="22.5" customHeight="1">
      <c r="A5" s="99"/>
      <c r="B5" s="118" t="s">
        <v>1801</v>
      </c>
      <c r="C5" s="123" t="s">
        <v>1408</v>
      </c>
      <c r="D5" s="230">
        <v>1</v>
      </c>
      <c r="E5" s="123" t="s">
        <v>381</v>
      </c>
      <c r="F5" s="230">
        <v>1</v>
      </c>
      <c r="G5" s="123" t="s">
        <v>1798</v>
      </c>
      <c r="H5" s="230">
        <v>1</v>
      </c>
      <c r="I5" s="176" t="s">
        <v>1840</v>
      </c>
      <c r="J5" s="225">
        <f t="shared" ca="1" si="0"/>
        <v>0</v>
      </c>
      <c r="K5" s="228">
        <f t="shared" ca="1" si="1"/>
        <v>123</v>
      </c>
      <c r="L5" s="229">
        <f t="shared" ca="1" si="2"/>
        <v>123</v>
      </c>
      <c r="M5" s="232"/>
    </row>
    <row r="6" spans="1:24" s="167" customFormat="1" ht="22.5" customHeight="1">
      <c r="A6" s="99"/>
      <c r="B6" s="118" t="s">
        <v>1781</v>
      </c>
      <c r="C6" s="123" t="s">
        <v>1785</v>
      </c>
      <c r="D6" s="230">
        <v>4</v>
      </c>
      <c r="E6" s="123" t="s">
        <v>1786</v>
      </c>
      <c r="F6" s="230">
        <v>1</v>
      </c>
      <c r="G6" s="123" t="s">
        <v>1697</v>
      </c>
      <c r="H6" s="230">
        <v>1</v>
      </c>
      <c r="I6" s="176" t="s">
        <v>1840</v>
      </c>
      <c r="J6" s="225">
        <f t="shared" ca="1" si="0"/>
        <v>0</v>
      </c>
      <c r="K6" s="228">
        <f t="shared" ca="1" si="1"/>
        <v>492</v>
      </c>
      <c r="L6" s="229">
        <f t="shared" ca="1" si="2"/>
        <v>123</v>
      </c>
      <c r="M6" s="232"/>
    </row>
    <row r="7" spans="1:24" s="167" customFormat="1" ht="22.5" customHeight="1">
      <c r="A7" s="99"/>
      <c r="B7" s="118" t="s">
        <v>1782</v>
      </c>
      <c r="C7" s="123" t="s">
        <v>1787</v>
      </c>
      <c r="D7" s="230">
        <v>4</v>
      </c>
      <c r="E7" s="123" t="s">
        <v>1788</v>
      </c>
      <c r="F7" s="230">
        <v>1</v>
      </c>
      <c r="G7" s="123" t="s">
        <v>1732</v>
      </c>
      <c r="H7" s="230">
        <v>1</v>
      </c>
      <c r="I7" s="176" t="s">
        <v>1840</v>
      </c>
      <c r="J7" s="225">
        <f t="shared" ca="1" si="0"/>
        <v>0</v>
      </c>
      <c r="K7" s="228">
        <f t="shared" ca="1" si="1"/>
        <v>492</v>
      </c>
      <c r="L7" s="229">
        <f t="shared" ca="1" si="2"/>
        <v>123</v>
      </c>
      <c r="M7" s="232"/>
    </row>
    <row r="8" spans="1:24" s="167" customFormat="1" ht="22.5" customHeight="1">
      <c r="A8" s="99"/>
      <c r="B8" s="118"/>
      <c r="C8" s="123"/>
      <c r="D8" s="230"/>
      <c r="E8" s="123"/>
      <c r="F8" s="230"/>
      <c r="G8" s="123"/>
      <c r="H8" s="230"/>
      <c r="I8" s="176"/>
      <c r="J8" s="225">
        <f t="shared" ca="1" si="0"/>
        <v>0</v>
      </c>
      <c r="K8" s="228">
        <f t="shared" ca="1" si="1"/>
        <v>0</v>
      </c>
      <c r="L8" s="229">
        <f t="shared" ca="1" si="2"/>
        <v>0</v>
      </c>
      <c r="M8" s="232"/>
    </row>
    <row r="9" spans="1:24" s="167" customFormat="1" ht="22.5" customHeight="1">
      <c r="A9" s="99" t="s">
        <v>1796</v>
      </c>
      <c r="B9" s="118" t="s">
        <v>1803</v>
      </c>
      <c r="C9" s="123" t="s">
        <v>1698</v>
      </c>
      <c r="D9" s="230">
        <v>1</v>
      </c>
      <c r="E9" s="123" t="s">
        <v>381</v>
      </c>
      <c r="F9" s="230">
        <v>1</v>
      </c>
      <c r="G9" s="123" t="s">
        <v>1732</v>
      </c>
      <c r="H9" s="230">
        <v>1</v>
      </c>
      <c r="I9" s="176" t="s">
        <v>1807</v>
      </c>
      <c r="J9" s="225">
        <f t="shared" ca="1" si="0"/>
        <v>7</v>
      </c>
      <c r="K9" s="228">
        <f t="shared" ca="1" si="1"/>
        <v>9</v>
      </c>
      <c r="L9" s="229">
        <f t="shared" ca="1" si="2"/>
        <v>9</v>
      </c>
      <c r="M9" s="232"/>
    </row>
    <row r="10" spans="1:24" s="167" customFormat="1" ht="22.5" customHeight="1">
      <c r="A10" s="99" t="s">
        <v>1791</v>
      </c>
      <c r="B10" s="118" t="s">
        <v>1804</v>
      </c>
      <c r="C10" s="123" t="s">
        <v>1783</v>
      </c>
      <c r="D10" s="230">
        <v>4</v>
      </c>
      <c r="E10" s="123" t="s">
        <v>1761</v>
      </c>
      <c r="F10" s="230">
        <v>1</v>
      </c>
      <c r="G10" s="123" t="s">
        <v>1697</v>
      </c>
      <c r="H10" s="230">
        <v>1</v>
      </c>
      <c r="I10" s="176" t="s">
        <v>1808</v>
      </c>
      <c r="J10" s="225">
        <f t="shared" ca="1" si="0"/>
        <v>5.5</v>
      </c>
      <c r="K10" s="228">
        <f t="shared" ca="1" si="1"/>
        <v>30</v>
      </c>
      <c r="L10" s="229">
        <f t="shared" ca="1" si="2"/>
        <v>7.5</v>
      </c>
      <c r="M10" s="232"/>
    </row>
    <row r="11" spans="1:24" s="167" customFormat="1" ht="22.5" customHeight="1">
      <c r="A11" s="99"/>
      <c r="B11" s="118" t="s">
        <v>1805</v>
      </c>
      <c r="C11" s="123" t="s">
        <v>1783</v>
      </c>
      <c r="D11" s="230">
        <v>4</v>
      </c>
      <c r="E11" s="123" t="s">
        <v>1761</v>
      </c>
      <c r="F11" s="230">
        <v>1</v>
      </c>
      <c r="G11" s="123" t="s">
        <v>1697</v>
      </c>
      <c r="H11" s="230">
        <v>1</v>
      </c>
      <c r="I11" s="176" t="s">
        <v>1808</v>
      </c>
      <c r="J11" s="225">
        <f t="shared" ca="1" si="0"/>
        <v>5.5</v>
      </c>
      <c r="K11" s="228">
        <f t="shared" ca="1" si="1"/>
        <v>30</v>
      </c>
      <c r="L11" s="229">
        <f t="shared" ca="1" si="2"/>
        <v>7.5</v>
      </c>
      <c r="M11" s="232"/>
    </row>
    <row r="12" spans="1:24" s="167" customFormat="1" ht="22.5" customHeight="1">
      <c r="A12" s="99"/>
      <c r="B12" s="118" t="s">
        <v>1806</v>
      </c>
      <c r="C12" s="123" t="s">
        <v>1797</v>
      </c>
      <c r="D12" s="230">
        <v>4</v>
      </c>
      <c r="E12" s="123" t="s">
        <v>1788</v>
      </c>
      <c r="F12" s="230">
        <v>1</v>
      </c>
      <c r="G12" s="123" t="s">
        <v>1799</v>
      </c>
      <c r="H12" s="230">
        <v>1</v>
      </c>
      <c r="I12" s="176" t="s">
        <v>1808</v>
      </c>
      <c r="J12" s="225">
        <f t="shared" ca="1" si="0"/>
        <v>5.5</v>
      </c>
      <c r="K12" s="228">
        <f t="shared" ca="1" si="1"/>
        <v>30</v>
      </c>
      <c r="L12" s="229">
        <f t="shared" ca="1" si="2"/>
        <v>7.5</v>
      </c>
      <c r="M12" s="232"/>
    </row>
    <row r="13" spans="1:24" s="167" customFormat="1" ht="22.5" customHeight="1">
      <c r="A13" s="99"/>
      <c r="B13" s="118"/>
      <c r="C13" s="123"/>
      <c r="D13" s="230"/>
      <c r="E13" s="123"/>
      <c r="F13" s="230"/>
      <c r="G13" s="123"/>
      <c r="H13" s="230"/>
      <c r="I13" s="176"/>
      <c r="J13" s="225">
        <f t="shared" ca="1" si="0"/>
        <v>0</v>
      </c>
      <c r="K13" s="228">
        <f t="shared" ca="1" si="1"/>
        <v>0</v>
      </c>
      <c r="L13" s="229">
        <f t="shared" ca="1" si="2"/>
        <v>0</v>
      </c>
      <c r="M13" s="232"/>
    </row>
    <row r="14" spans="1:24" s="167" customFormat="1" ht="22.5" customHeight="1">
      <c r="A14" s="99"/>
      <c r="B14" s="118"/>
      <c r="C14" s="123"/>
      <c r="D14" s="230"/>
      <c r="E14" s="123"/>
      <c r="F14" s="230"/>
      <c r="G14" s="123"/>
      <c r="H14" s="230"/>
      <c r="I14" s="176"/>
      <c r="J14" s="225">
        <f t="shared" ref="J14" ca="1" si="3">djs(I14,1)*H14</f>
        <v>0</v>
      </c>
      <c r="K14" s="228">
        <f t="shared" ref="K14" ca="1" si="4">((djs(I14,0)+djs(I14,1))*D14)*H14</f>
        <v>0</v>
      </c>
      <c r="L14" s="229">
        <f t="shared" ref="L14" ca="1" si="5">((djs(I14,0)+djs(I14,1))*F14)*H14</f>
        <v>0</v>
      </c>
      <c r="M14" s="232"/>
    </row>
    <row r="15" spans="1:24" s="167" customFormat="1" ht="22.5" customHeight="1">
      <c r="A15" s="99"/>
      <c r="B15" s="118"/>
      <c r="C15" s="123"/>
      <c r="D15" s="230"/>
      <c r="E15" s="123"/>
      <c r="F15" s="230"/>
      <c r="G15" s="123"/>
      <c r="H15" s="230"/>
      <c r="I15" s="176"/>
      <c r="J15" s="225">
        <f t="shared" ref="J15:J20" ca="1" si="6">djs(I15,1)*H15</f>
        <v>0</v>
      </c>
      <c r="K15" s="228">
        <f t="shared" ref="K15:K20" ca="1" si="7">((djs(I15,0)+djs(I15,1))*D15)*H15</f>
        <v>0</v>
      </c>
      <c r="L15" s="229">
        <f t="shared" ref="L15:L20" ca="1" si="8">((djs(I15,0)+djs(I15,1))*F15)*H15</f>
        <v>0</v>
      </c>
      <c r="M15" s="232"/>
    </row>
    <row r="16" spans="1:24" s="167" customFormat="1" ht="22.5" customHeight="1">
      <c r="A16" s="99"/>
      <c r="B16" s="99"/>
      <c r="C16" s="123"/>
      <c r="D16" s="230"/>
      <c r="E16" s="123"/>
      <c r="F16" s="230"/>
      <c r="G16" s="123"/>
      <c r="H16" s="230"/>
      <c r="I16" s="176"/>
      <c r="J16" s="225">
        <f t="shared" ca="1" si="6"/>
        <v>0</v>
      </c>
      <c r="K16" s="228">
        <f t="shared" ca="1" si="7"/>
        <v>0</v>
      </c>
      <c r="L16" s="229">
        <f t="shared" ca="1" si="8"/>
        <v>0</v>
      </c>
      <c r="M16" s="232"/>
    </row>
    <row r="17" spans="1:13" s="167" customFormat="1" ht="22.5" customHeight="1">
      <c r="A17" s="99"/>
      <c r="B17" s="99"/>
      <c r="C17" s="123"/>
      <c r="D17" s="230"/>
      <c r="E17" s="123"/>
      <c r="F17" s="230"/>
      <c r="G17" s="123"/>
      <c r="H17" s="230"/>
      <c r="I17" s="176"/>
      <c r="J17" s="225">
        <f t="shared" ca="1" si="6"/>
        <v>0</v>
      </c>
      <c r="K17" s="228">
        <f t="shared" ca="1" si="7"/>
        <v>0</v>
      </c>
      <c r="L17" s="229">
        <f t="shared" ca="1" si="8"/>
        <v>0</v>
      </c>
      <c r="M17" s="232"/>
    </row>
    <row r="18" spans="1:13" s="167" customFormat="1" ht="22.5" customHeight="1">
      <c r="A18" s="99"/>
      <c r="B18" s="118"/>
      <c r="C18" s="123"/>
      <c r="D18" s="230"/>
      <c r="E18" s="123"/>
      <c r="F18" s="230"/>
      <c r="G18" s="123"/>
      <c r="H18" s="230"/>
      <c r="I18" s="176"/>
      <c r="J18" s="225">
        <f t="shared" ca="1" si="6"/>
        <v>0</v>
      </c>
      <c r="K18" s="228">
        <f t="shared" ca="1" si="7"/>
        <v>0</v>
      </c>
      <c r="L18" s="229">
        <f t="shared" ca="1" si="8"/>
        <v>0</v>
      </c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>
        <f t="shared" ca="1" si="6"/>
        <v>0</v>
      </c>
      <c r="K19" s="228">
        <f t="shared" ca="1" si="7"/>
        <v>0</v>
      </c>
      <c r="L19" s="229">
        <f t="shared" ca="1" si="8"/>
        <v>0</v>
      </c>
      <c r="M19" s="232"/>
    </row>
    <row r="20" spans="1:13" s="167" customFormat="1" ht="22.5" customHeight="1">
      <c r="A20" s="99"/>
      <c r="B20" s="99"/>
      <c r="C20" s="123"/>
      <c r="D20" s="230"/>
      <c r="E20" s="123"/>
      <c r="F20" s="230"/>
      <c r="G20" s="123"/>
      <c r="H20" s="230"/>
      <c r="I20" s="176"/>
      <c r="J20" s="225">
        <f t="shared" ca="1" si="6"/>
        <v>0</v>
      </c>
      <c r="K20" s="228">
        <f t="shared" ca="1" si="7"/>
        <v>0</v>
      </c>
      <c r="L20" s="229">
        <f t="shared" ca="1" si="8"/>
        <v>0</v>
      </c>
      <c r="M20" s="232"/>
    </row>
    <row r="21" spans="1:13" s="167" customFormat="1" ht="22.5" customHeight="1">
      <c r="A21" s="99"/>
      <c r="B21" s="99"/>
      <c r="C21" s="123"/>
      <c r="D21" s="230"/>
      <c r="E21" s="123"/>
      <c r="F21" s="230"/>
      <c r="G21" s="123"/>
      <c r="H21" s="230"/>
      <c r="I21" s="176"/>
      <c r="J21" s="225">
        <f t="shared" ca="1" si="0"/>
        <v>0</v>
      </c>
      <c r="K21" s="228">
        <f t="shared" ca="1" si="1"/>
        <v>0</v>
      </c>
      <c r="L21" s="229">
        <f t="shared" ca="1" si="2"/>
        <v>0</v>
      </c>
      <c r="M21" s="232"/>
    </row>
    <row r="22" spans="1:13" s="167" customFormat="1" ht="22.5" customHeight="1">
      <c r="A22" s="99"/>
      <c r="B22" s="99"/>
      <c r="C22" s="123"/>
      <c r="D22" s="230"/>
      <c r="E22" s="123"/>
      <c r="F22" s="230"/>
      <c r="G22" s="123"/>
      <c r="H22" s="230"/>
      <c r="I22" s="176"/>
      <c r="J22" s="225">
        <f t="shared" ca="1" si="0"/>
        <v>0</v>
      </c>
      <c r="K22" s="228">
        <f t="shared" ca="1" si="1"/>
        <v>0</v>
      </c>
      <c r="L22" s="229">
        <f t="shared" ca="1" si="2"/>
        <v>0</v>
      </c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>
        <f t="shared" ref="J23:J25" ca="1" si="9">djs(I23,1)*H23</f>
        <v>0</v>
      </c>
      <c r="K23" s="228">
        <f t="shared" ref="K23:K25" ca="1" si="10">((djs(I23,0)+djs(I23,1))*D23)*H23</f>
        <v>0</v>
      </c>
      <c r="L23" s="229">
        <f t="shared" ref="L23:L25" ca="1" si="11">((djs(I23,0)+djs(I23,1))*F23)*H23</f>
        <v>0</v>
      </c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>
        <f t="shared" ca="1" si="9"/>
        <v>0</v>
      </c>
      <c r="K24" s="228">
        <f t="shared" ca="1" si="10"/>
        <v>0</v>
      </c>
      <c r="L24" s="229">
        <f t="shared" ca="1" si="11"/>
        <v>0</v>
      </c>
      <c r="M24" s="232"/>
    </row>
    <row r="25" spans="1:13" s="167" customFormat="1" ht="22.5" customHeight="1">
      <c r="A25" s="99"/>
      <c r="B25" s="99"/>
      <c r="C25" s="123"/>
      <c r="D25" s="230"/>
      <c r="E25" s="123"/>
      <c r="F25" s="230"/>
      <c r="G25" s="123"/>
      <c r="H25" s="230"/>
      <c r="I25" s="176"/>
      <c r="J25" s="225">
        <f t="shared" ca="1" si="9"/>
        <v>0</v>
      </c>
      <c r="K25" s="228">
        <f t="shared" ca="1" si="10"/>
        <v>0</v>
      </c>
      <c r="L25" s="229">
        <f t="shared" ca="1" si="11"/>
        <v>0</v>
      </c>
      <c r="M25" s="232"/>
    </row>
    <row r="26" spans="1:13" s="167" customFormat="1" ht="22.5" customHeight="1">
      <c r="A26" s="489"/>
      <c r="B26" s="395"/>
      <c r="C26" s="396"/>
      <c r="D26" s="397"/>
      <c r="E26" s="396"/>
      <c r="F26" s="397"/>
      <c r="G26" s="396"/>
      <c r="H26" s="397"/>
      <c r="I26" s="398"/>
      <c r="J26" s="399"/>
      <c r="K26" s="400"/>
      <c r="L26" s="401"/>
      <c r="M26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&amp;C&amp;"굴림체,굵게"&amp;14자 료 산 출 근 거 서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indexed="25"/>
  </sheetPr>
  <dimension ref="A1:I36"/>
  <sheetViews>
    <sheetView view="pageBreakPreview" workbookViewId="0">
      <selection activeCell="Z40" sqref="Z40"/>
    </sheetView>
  </sheetViews>
  <sheetFormatPr defaultRowHeight="11.25"/>
  <cols>
    <col min="1" max="1" width="15.33203125" style="162" customWidth="1"/>
    <col min="2" max="2" width="11.33203125" style="162" customWidth="1"/>
    <col min="3" max="3" width="24.21875" style="162" customWidth="1"/>
    <col min="4" max="4" width="5.88671875" style="162" customWidth="1"/>
    <col min="5" max="8" width="11.109375" style="162" customWidth="1"/>
    <col min="9" max="9" width="11.88671875" style="162" customWidth="1"/>
    <col min="10" max="11" width="10.33203125" style="162" customWidth="1"/>
    <col min="12" max="16384" width="8.88671875" style="162"/>
  </cols>
  <sheetData>
    <row r="1" spans="1:9" ht="25.5" customHeight="1">
      <c r="A1" s="391" t="s">
        <v>542</v>
      </c>
      <c r="B1" s="391" t="s">
        <v>488</v>
      </c>
      <c r="C1" s="391" t="s">
        <v>1158</v>
      </c>
      <c r="D1" s="391" t="s">
        <v>544</v>
      </c>
      <c r="E1" s="391" t="s">
        <v>545</v>
      </c>
      <c r="F1" s="391" t="s">
        <v>546</v>
      </c>
      <c r="G1" s="391" t="s">
        <v>539</v>
      </c>
      <c r="H1" s="391" t="s">
        <v>547</v>
      </c>
      <c r="I1" s="391" t="s">
        <v>540</v>
      </c>
    </row>
    <row r="2" spans="1:9" ht="25.5" customHeight="1">
      <c r="A2" s="488" t="s">
        <v>991</v>
      </c>
      <c r="B2" s="112"/>
      <c r="C2" s="112"/>
      <c r="D2" s="99"/>
      <c r="E2" s="112"/>
      <c r="F2" s="112"/>
      <c r="G2" s="112"/>
      <c r="H2" s="112"/>
      <c r="I2" s="110"/>
    </row>
    <row r="3" spans="1:9" ht="25.5" customHeight="1">
      <c r="A3" s="110" t="s">
        <v>1145</v>
      </c>
      <c r="B3" s="110" t="s">
        <v>1146</v>
      </c>
      <c r="C3" s="112" t="s">
        <v>1150</v>
      </c>
      <c r="D3" s="99" t="e">
        <f>#REF!</f>
        <v>#REF!</v>
      </c>
      <c r="E3" s="225" t="e">
        <f ca="1">djs(C3,1)*D3</f>
        <v>#REF!</v>
      </c>
      <c r="F3" s="112">
        <v>1E-3</v>
      </c>
      <c r="G3" s="112">
        <v>7850</v>
      </c>
      <c r="H3" s="112" t="e">
        <f t="shared" ref="H3:H10" ca="1" si="0">ROUNDDOWN(E3*F3*G3,1)</f>
        <v>#REF!</v>
      </c>
      <c r="I3" s="112"/>
    </row>
    <row r="4" spans="1:9" ht="25.5" customHeight="1">
      <c r="A4" s="110" t="s">
        <v>1145</v>
      </c>
      <c r="B4" s="110" t="s">
        <v>1147</v>
      </c>
      <c r="C4" s="112" t="s">
        <v>1151</v>
      </c>
      <c r="D4" s="99" t="e">
        <f>#REF!</f>
        <v>#REF!</v>
      </c>
      <c r="E4" s="225" t="e">
        <f t="shared" ref="E4:E10" ca="1" si="1">djs(C4,1)*D4</f>
        <v>#REF!</v>
      </c>
      <c r="F4" s="112">
        <v>1E-3</v>
      </c>
      <c r="G4" s="112">
        <v>7850</v>
      </c>
      <c r="H4" s="112" t="e">
        <f t="shared" ca="1" si="0"/>
        <v>#REF!</v>
      </c>
      <c r="I4" s="112"/>
    </row>
    <row r="5" spans="1:9" ht="25.5" customHeight="1">
      <c r="A5" s="110" t="s">
        <v>1145</v>
      </c>
      <c r="B5" s="110" t="s">
        <v>1148</v>
      </c>
      <c r="C5" s="112" t="s">
        <v>1152</v>
      </c>
      <c r="D5" s="99" t="e">
        <f>#REF!</f>
        <v>#REF!</v>
      </c>
      <c r="E5" s="225" t="e">
        <f t="shared" ca="1" si="1"/>
        <v>#REF!</v>
      </c>
      <c r="F5" s="112">
        <v>1E-3</v>
      </c>
      <c r="G5" s="112">
        <v>7850</v>
      </c>
      <c r="H5" s="112" t="e">
        <f t="shared" ca="1" si="0"/>
        <v>#REF!</v>
      </c>
      <c r="I5" s="112"/>
    </row>
    <row r="6" spans="1:9" ht="25.5" customHeight="1">
      <c r="A6" s="110" t="s">
        <v>1145</v>
      </c>
      <c r="B6" s="110" t="s">
        <v>1149</v>
      </c>
      <c r="C6" s="112" t="s">
        <v>1153</v>
      </c>
      <c r="D6" s="99" t="e">
        <f>#REF!</f>
        <v>#REF!</v>
      </c>
      <c r="E6" s="225" t="e">
        <f t="shared" ca="1" si="1"/>
        <v>#REF!</v>
      </c>
      <c r="F6" s="112">
        <v>1E-3</v>
      </c>
      <c r="G6" s="112">
        <v>7850</v>
      </c>
      <c r="H6" s="112" t="e">
        <f t="shared" ca="1" si="0"/>
        <v>#REF!</v>
      </c>
      <c r="I6" s="112"/>
    </row>
    <row r="7" spans="1:9" ht="25.5" customHeight="1">
      <c r="A7" s="110" t="s">
        <v>1127</v>
      </c>
      <c r="B7" s="231" t="s">
        <v>1137</v>
      </c>
      <c r="C7" s="112" t="s">
        <v>1154</v>
      </c>
      <c r="D7" s="99" t="e">
        <f>#REF!</f>
        <v>#REF!</v>
      </c>
      <c r="E7" s="225" t="e">
        <f t="shared" ca="1" si="1"/>
        <v>#REF!</v>
      </c>
      <c r="F7" s="112">
        <v>2.3E-3</v>
      </c>
      <c r="G7" s="112">
        <v>7850</v>
      </c>
      <c r="H7" s="112" t="e">
        <f t="shared" ca="1" si="0"/>
        <v>#REF!</v>
      </c>
      <c r="I7" s="112"/>
    </row>
    <row r="8" spans="1:9" ht="25.5" customHeight="1">
      <c r="A8" s="110" t="s">
        <v>1127</v>
      </c>
      <c r="B8" s="231" t="s">
        <v>1128</v>
      </c>
      <c r="C8" s="112" t="s">
        <v>1155</v>
      </c>
      <c r="D8" s="99" t="e">
        <f>#REF!</f>
        <v>#REF!</v>
      </c>
      <c r="E8" s="225" t="e">
        <f t="shared" ca="1" si="1"/>
        <v>#REF!</v>
      </c>
      <c r="F8" s="112">
        <v>2.3E-3</v>
      </c>
      <c r="G8" s="112">
        <v>7850</v>
      </c>
      <c r="H8" s="112" t="e">
        <f t="shared" ca="1" si="0"/>
        <v>#REF!</v>
      </c>
      <c r="I8" s="112"/>
    </row>
    <row r="9" spans="1:9" ht="25.5" customHeight="1">
      <c r="A9" s="110" t="s">
        <v>1127</v>
      </c>
      <c r="B9" s="231" t="s">
        <v>1130</v>
      </c>
      <c r="C9" s="112" t="s">
        <v>1156</v>
      </c>
      <c r="D9" s="99" t="e">
        <f>#REF!</f>
        <v>#REF!</v>
      </c>
      <c r="E9" s="225" t="e">
        <f t="shared" ca="1" si="1"/>
        <v>#REF!</v>
      </c>
      <c r="F9" s="112">
        <v>2.3E-3</v>
      </c>
      <c r="G9" s="112">
        <v>7850</v>
      </c>
      <c r="H9" s="112" t="e">
        <f t="shared" ca="1" si="0"/>
        <v>#REF!</v>
      </c>
      <c r="I9" s="112"/>
    </row>
    <row r="10" spans="1:9" ht="25.5" customHeight="1">
      <c r="A10" s="110" t="s">
        <v>1127</v>
      </c>
      <c r="B10" s="231" t="s">
        <v>968</v>
      </c>
      <c r="C10" s="112" t="s">
        <v>1157</v>
      </c>
      <c r="D10" s="99" t="e">
        <f>#REF!</f>
        <v>#REF!</v>
      </c>
      <c r="E10" s="225" t="e">
        <f t="shared" ca="1" si="1"/>
        <v>#REF!</v>
      </c>
      <c r="F10" s="112">
        <v>2.3E-3</v>
      </c>
      <c r="G10" s="112">
        <v>7850</v>
      </c>
      <c r="H10" s="112" t="e">
        <f t="shared" ca="1" si="0"/>
        <v>#REF!</v>
      </c>
      <c r="I10" s="112"/>
    </row>
    <row r="11" spans="1:9" ht="25.5" customHeight="1">
      <c r="A11" s="110"/>
      <c r="B11" s="110"/>
      <c r="C11" s="112"/>
      <c r="D11" s="99"/>
      <c r="E11" s="112"/>
      <c r="F11" s="112"/>
      <c r="G11" s="112"/>
      <c r="H11" s="112"/>
      <c r="I11" s="112"/>
    </row>
    <row r="12" spans="1:9" ht="25.5" customHeight="1">
      <c r="A12" s="379" t="s">
        <v>541</v>
      </c>
      <c r="B12" s="112"/>
      <c r="C12" s="112"/>
      <c r="D12" s="99"/>
      <c r="E12" s="112"/>
      <c r="F12" s="112"/>
      <c r="G12" s="112"/>
      <c r="H12" s="392" t="e">
        <f ca="1">SUM(H3:H11)</f>
        <v>#REF!</v>
      </c>
      <c r="I12" s="112"/>
    </row>
    <row r="13" spans="1:9" ht="25.5" customHeight="1">
      <c r="A13" s="112"/>
      <c r="B13" s="112"/>
      <c r="C13" s="112"/>
      <c r="D13" s="99"/>
      <c r="E13" s="112"/>
      <c r="F13" s="112"/>
      <c r="G13" s="112"/>
      <c r="H13" s="112"/>
      <c r="I13" s="112"/>
    </row>
    <row r="14" spans="1:9" ht="25.5" customHeight="1">
      <c r="A14" s="488" t="s">
        <v>1159</v>
      </c>
      <c r="B14" s="112"/>
      <c r="C14" s="112"/>
      <c r="D14" s="99"/>
      <c r="E14" s="112"/>
      <c r="F14" s="112"/>
      <c r="G14" s="112"/>
      <c r="H14" s="112"/>
      <c r="I14" s="112"/>
    </row>
    <row r="15" spans="1:9" ht="25.5" customHeight="1">
      <c r="A15" s="110" t="s">
        <v>1160</v>
      </c>
      <c r="B15" s="231" t="s">
        <v>1137</v>
      </c>
      <c r="C15" s="112" t="s">
        <v>1161</v>
      </c>
      <c r="D15" s="99" t="e">
        <f>#REF!</f>
        <v>#REF!</v>
      </c>
      <c r="E15" s="225" t="e">
        <f t="shared" ref="E15:E24" ca="1" si="2">djs(C15,1)*D15</f>
        <v>#REF!</v>
      </c>
      <c r="F15" s="112">
        <v>1.5E-3</v>
      </c>
      <c r="G15" s="112">
        <v>7930</v>
      </c>
      <c r="H15" s="112" t="e">
        <f t="shared" ref="H15:H24" ca="1" si="3">ROUNDDOWN(E15*F15*G15,1)</f>
        <v>#REF!</v>
      </c>
      <c r="I15" s="112"/>
    </row>
    <row r="16" spans="1:9" ht="25.5" customHeight="1">
      <c r="A16" s="110" t="s">
        <v>1160</v>
      </c>
      <c r="B16" s="231" t="s">
        <v>1134</v>
      </c>
      <c r="C16" s="112" t="s">
        <v>1162</v>
      </c>
      <c r="D16" s="99" t="e">
        <f>#REF!</f>
        <v>#REF!</v>
      </c>
      <c r="E16" s="225" t="e">
        <f t="shared" ca="1" si="2"/>
        <v>#REF!</v>
      </c>
      <c r="F16" s="112">
        <v>1.5E-3</v>
      </c>
      <c r="G16" s="112">
        <v>7930</v>
      </c>
      <c r="H16" s="112" t="e">
        <f t="shared" ca="1" si="3"/>
        <v>#REF!</v>
      </c>
      <c r="I16" s="112"/>
    </row>
    <row r="17" spans="1:9" ht="25.5" customHeight="1">
      <c r="A17" s="110" t="s">
        <v>1160</v>
      </c>
      <c r="B17" s="231" t="s">
        <v>1125</v>
      </c>
      <c r="C17" s="112" t="s">
        <v>1163</v>
      </c>
      <c r="D17" s="99" t="e">
        <f>#REF!</f>
        <v>#REF!</v>
      </c>
      <c r="E17" s="225" t="e">
        <f t="shared" ca="1" si="2"/>
        <v>#REF!</v>
      </c>
      <c r="F17" s="112">
        <v>1.5E-3</v>
      </c>
      <c r="G17" s="112">
        <v>7930</v>
      </c>
      <c r="H17" s="112" t="e">
        <f t="shared" ca="1" si="3"/>
        <v>#REF!</v>
      </c>
      <c r="I17" s="112"/>
    </row>
    <row r="18" spans="1:9" ht="25.5" customHeight="1">
      <c r="A18" s="110" t="s">
        <v>1160</v>
      </c>
      <c r="B18" s="231" t="s">
        <v>1133</v>
      </c>
      <c r="C18" s="112" t="s">
        <v>1164</v>
      </c>
      <c r="D18" s="99" t="e">
        <f>#REF!</f>
        <v>#REF!</v>
      </c>
      <c r="E18" s="225" t="e">
        <f t="shared" ca="1" si="2"/>
        <v>#REF!</v>
      </c>
      <c r="F18" s="112">
        <v>1.5E-3</v>
      </c>
      <c r="G18" s="112">
        <v>7930</v>
      </c>
      <c r="H18" s="112" t="e">
        <f t="shared" ca="1" si="3"/>
        <v>#REF!</v>
      </c>
      <c r="I18" s="112"/>
    </row>
    <row r="19" spans="1:9" ht="25.5" customHeight="1">
      <c r="A19" s="110" t="s">
        <v>1160</v>
      </c>
      <c r="B19" s="231" t="s">
        <v>1136</v>
      </c>
      <c r="C19" s="112" t="s">
        <v>1165</v>
      </c>
      <c r="D19" s="99" t="e">
        <f>#REF!</f>
        <v>#REF!</v>
      </c>
      <c r="E19" s="225" t="e">
        <f t="shared" ca="1" si="2"/>
        <v>#REF!</v>
      </c>
      <c r="F19" s="112">
        <v>1.5E-3</v>
      </c>
      <c r="G19" s="112">
        <v>7930</v>
      </c>
      <c r="H19" s="112" t="e">
        <f t="shared" ca="1" si="3"/>
        <v>#REF!</v>
      </c>
      <c r="I19" s="112"/>
    </row>
    <row r="20" spans="1:9" ht="25.5" customHeight="1">
      <c r="A20" s="110" t="s">
        <v>1160</v>
      </c>
      <c r="B20" s="231" t="s">
        <v>1131</v>
      </c>
      <c r="C20" s="112" t="s">
        <v>1166</v>
      </c>
      <c r="D20" s="99" t="e">
        <f>#REF!</f>
        <v>#REF!</v>
      </c>
      <c r="E20" s="225" t="e">
        <f t="shared" ca="1" si="2"/>
        <v>#REF!</v>
      </c>
      <c r="F20" s="112">
        <v>1.5E-3</v>
      </c>
      <c r="G20" s="112">
        <v>7930</v>
      </c>
      <c r="H20" s="112" t="e">
        <f t="shared" ca="1" si="3"/>
        <v>#REF!</v>
      </c>
      <c r="I20" s="112"/>
    </row>
    <row r="21" spans="1:9" ht="25.5" customHeight="1">
      <c r="A21" s="110" t="s">
        <v>1160</v>
      </c>
      <c r="B21" s="231" t="s">
        <v>1129</v>
      </c>
      <c r="C21" s="112" t="s">
        <v>1167</v>
      </c>
      <c r="D21" s="99" t="e">
        <f>#REF!</f>
        <v>#REF!</v>
      </c>
      <c r="E21" s="225" t="e">
        <f t="shared" ca="1" si="2"/>
        <v>#REF!</v>
      </c>
      <c r="F21" s="112">
        <v>1.5E-3</v>
      </c>
      <c r="G21" s="112">
        <v>7930</v>
      </c>
      <c r="H21" s="112" t="e">
        <f t="shared" ca="1" si="3"/>
        <v>#REF!</v>
      </c>
      <c r="I21" s="112"/>
    </row>
    <row r="22" spans="1:9" ht="25.5" customHeight="1">
      <c r="A22" s="110" t="s">
        <v>1160</v>
      </c>
      <c r="B22" s="231" t="s">
        <v>1126</v>
      </c>
      <c r="C22" s="112" t="s">
        <v>1168</v>
      </c>
      <c r="D22" s="99" t="e">
        <f>#REF!</f>
        <v>#REF!</v>
      </c>
      <c r="E22" s="225" t="e">
        <f t="shared" ca="1" si="2"/>
        <v>#REF!</v>
      </c>
      <c r="F22" s="112">
        <v>1.5E-3</v>
      </c>
      <c r="G22" s="112">
        <v>7930</v>
      </c>
      <c r="H22" s="112" t="e">
        <f t="shared" ca="1" si="3"/>
        <v>#REF!</v>
      </c>
      <c r="I22" s="112"/>
    </row>
    <row r="23" spans="1:9" ht="25.5" customHeight="1">
      <c r="A23" s="110" t="s">
        <v>1160</v>
      </c>
      <c r="B23" s="231" t="s">
        <v>1135</v>
      </c>
      <c r="C23" s="112" t="s">
        <v>1169</v>
      </c>
      <c r="D23" s="99" t="e">
        <f>#REF!</f>
        <v>#REF!</v>
      </c>
      <c r="E23" s="225" t="e">
        <f t="shared" ca="1" si="2"/>
        <v>#REF!</v>
      </c>
      <c r="F23" s="112">
        <v>1.5E-3</v>
      </c>
      <c r="G23" s="112">
        <v>7930</v>
      </c>
      <c r="H23" s="112" t="e">
        <f t="shared" ca="1" si="3"/>
        <v>#REF!</v>
      </c>
      <c r="I23" s="112"/>
    </row>
    <row r="24" spans="1:9" ht="25.5" customHeight="1">
      <c r="A24" s="110" t="s">
        <v>1160</v>
      </c>
      <c r="B24" s="231" t="s">
        <v>1132</v>
      </c>
      <c r="C24" s="112" t="s">
        <v>1170</v>
      </c>
      <c r="D24" s="99" t="e">
        <f>#REF!</f>
        <v>#REF!</v>
      </c>
      <c r="E24" s="225" t="e">
        <f t="shared" ca="1" si="2"/>
        <v>#REF!</v>
      </c>
      <c r="F24" s="112">
        <v>1.5E-3</v>
      </c>
      <c r="G24" s="112">
        <v>7930</v>
      </c>
      <c r="H24" s="112" t="e">
        <f t="shared" ca="1" si="3"/>
        <v>#REF!</v>
      </c>
      <c r="I24" s="112"/>
    </row>
    <row r="25" spans="1:9" ht="25.5" customHeight="1">
      <c r="A25" s="112"/>
      <c r="B25" s="112"/>
      <c r="C25" s="112"/>
      <c r="D25" s="99"/>
      <c r="E25" s="112"/>
      <c r="F25" s="112"/>
      <c r="G25" s="112"/>
      <c r="H25" s="112"/>
      <c r="I25" s="112"/>
    </row>
    <row r="26" spans="1:9" ht="25.5" customHeight="1">
      <c r="A26" s="379" t="s">
        <v>541</v>
      </c>
      <c r="B26" s="112"/>
      <c r="C26" s="112"/>
      <c r="D26" s="99"/>
      <c r="E26" s="112"/>
      <c r="F26" s="112"/>
      <c r="G26" s="112"/>
      <c r="H26" s="392" t="e">
        <f ca="1">SUM(H15:H25)</f>
        <v>#REF!</v>
      </c>
      <c r="I26" s="112"/>
    </row>
    <row r="27" spans="1:9" ht="25.5" customHeight="1">
      <c r="A27" s="112"/>
      <c r="B27" s="112"/>
      <c r="C27" s="112"/>
      <c r="D27" s="99"/>
      <c r="E27" s="112"/>
      <c r="F27" s="112"/>
      <c r="G27" s="112"/>
      <c r="H27" s="112"/>
      <c r="I27" s="112"/>
    </row>
    <row r="28" spans="1:9" ht="25.5" customHeight="1">
      <c r="A28" s="112"/>
      <c r="B28" s="112"/>
      <c r="C28" s="112"/>
      <c r="D28" s="99"/>
      <c r="E28" s="112"/>
      <c r="F28" s="112"/>
      <c r="G28" s="112"/>
      <c r="H28" s="112"/>
      <c r="I28" s="112"/>
    </row>
    <row r="29" spans="1:9" ht="25.5" customHeight="1">
      <c r="A29" s="112"/>
      <c r="B29" s="112"/>
      <c r="C29" s="112"/>
      <c r="D29" s="99"/>
      <c r="E29" s="112"/>
      <c r="F29" s="112"/>
      <c r="G29" s="112"/>
      <c r="H29" s="112"/>
      <c r="I29" s="112"/>
    </row>
    <row r="30" spans="1:9" ht="25.5" customHeight="1">
      <c r="A30" s="112"/>
      <c r="B30" s="112"/>
      <c r="C30" s="112"/>
      <c r="D30" s="99"/>
      <c r="E30" s="112"/>
      <c r="F30" s="112"/>
      <c r="G30" s="112"/>
      <c r="H30" s="112"/>
      <c r="I30" s="112"/>
    </row>
    <row r="31" spans="1:9" ht="25.5" customHeight="1">
      <c r="A31" s="112"/>
      <c r="B31" s="112"/>
      <c r="C31" s="112"/>
      <c r="D31" s="99"/>
      <c r="E31" s="112"/>
      <c r="F31" s="112"/>
      <c r="G31" s="112"/>
      <c r="H31" s="112"/>
      <c r="I31" s="112"/>
    </row>
    <row r="32" spans="1:9" ht="25.5" customHeight="1">
      <c r="A32" s="112"/>
      <c r="B32" s="112"/>
      <c r="C32" s="112"/>
      <c r="D32" s="99"/>
      <c r="E32" s="112"/>
      <c r="F32" s="112"/>
      <c r="G32" s="112"/>
      <c r="H32" s="112"/>
      <c r="I32" s="112"/>
    </row>
    <row r="33" spans="1:9" ht="25.5" customHeight="1">
      <c r="A33" s="112"/>
      <c r="B33" s="112"/>
      <c r="C33" s="112"/>
      <c r="D33" s="99"/>
      <c r="E33" s="112"/>
      <c r="F33" s="112"/>
      <c r="G33" s="112"/>
      <c r="H33" s="112"/>
      <c r="I33" s="112"/>
    </row>
    <row r="34" spans="1:9" ht="25.5" customHeight="1"/>
    <row r="35" spans="1:9" ht="25.5" customHeight="1"/>
    <row r="36" spans="1:9" ht="25.5" customHeight="1"/>
  </sheetData>
  <phoneticPr fontId="4" type="noConversion"/>
  <pageMargins left="0.74803149606299213" right="0.74803149606299213" top="0.98425196850393704" bottom="0.98425196850393704" header="0.59055118110236227" footer="0.51181102362204722"/>
  <pageSetup paperSize="9" orientation="landscape" r:id="rId1"/>
  <headerFooter alignWithMargins="0">
    <oddHeader>&amp;C&amp;"굴림체,굵게"&amp;14고철 중량산출서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33">
    <tabColor rgb="FFFF0000"/>
  </sheetPr>
  <dimension ref="A1:V26"/>
  <sheetViews>
    <sheetView showZeros="0" view="pageBreakPreview" zoomScaleSheetLayoutView="100" workbookViewId="0">
      <pane xSplit="3" ySplit="3" topLeftCell="D4" activePane="bottomRight" state="frozen"/>
      <selection activeCell="O22" sqref="O22"/>
      <selection pane="topRight" activeCell="O22" sqref="O22"/>
      <selection pane="bottomLeft" activeCell="O22" sqref="O22"/>
      <selection pane="bottomRight" activeCell="O22" sqref="O22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6.77734375" style="162" customWidth="1"/>
    <col min="22" max="22" width="4.77734375" style="162" customWidth="1"/>
    <col min="23" max="16384" width="8.88671875" style="162"/>
  </cols>
  <sheetData>
    <row r="1" spans="1:21" ht="21.95" customHeight="1">
      <c r="A1" s="676" t="str">
        <f>'9.태양광(산)'!A1</f>
        <v xml:space="preserve">9. 태양광발전설비공사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117"/>
    </row>
    <row r="2" spans="1:21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16" t="s">
        <v>146</v>
      </c>
      <c r="R2" s="616"/>
      <c r="S2" s="616" t="s">
        <v>90</v>
      </c>
      <c r="T2" s="616"/>
      <c r="U2" s="616" t="s">
        <v>309</v>
      </c>
    </row>
    <row r="3" spans="1:21" ht="21.95" customHeight="1">
      <c r="A3" s="616"/>
      <c r="B3" s="616"/>
      <c r="C3" s="616"/>
      <c r="D3" s="101"/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616"/>
    </row>
    <row r="4" spans="1:21" ht="21.95" customHeight="1">
      <c r="A4" s="110" t="s">
        <v>167</v>
      </c>
      <c r="B4" s="123" t="s">
        <v>1412</v>
      </c>
      <c r="C4" s="497" t="s">
        <v>407</v>
      </c>
      <c r="D4" s="84">
        <f ca="1">SUM(SUMIF('9.태양광(산)'!$C$3:$C$26,B4,'9.태양광(산)'!$K$3:$K$26),SUMIF('9.태양광(산)'!$E$3:$E$26,B4,'9.태양광(산)'!$L$3:$L$26),SUMIF('9.태양광(산)'!$G$3:$G$26,B4,'9.태양광(산)'!$J$3:$J$26))</f>
        <v>46.2</v>
      </c>
      <c r="E4" s="84"/>
      <c r="F4" s="84"/>
      <c r="G4" s="84"/>
      <c r="H4" s="84"/>
      <c r="I4" s="84"/>
      <c r="J4" s="112">
        <f t="shared" ref="J4" ca="1" si="0">SUM(D4:I4)</f>
        <v>46.2</v>
      </c>
      <c r="K4" s="85">
        <v>0.1</v>
      </c>
      <c r="L4" s="22">
        <f t="shared" ref="L4:L14" ca="1" si="1">ROUND(J4+(J4*K4),0)</f>
        <v>51</v>
      </c>
      <c r="M4" s="86">
        <f>0.05*0.8</f>
        <v>4.0000000000000008E-2</v>
      </c>
      <c r="N4" s="22">
        <f t="shared" ref="N4:N11" ca="1" si="2">ROUNDDOWN($J4*M4,4)</f>
        <v>1.8480000000000001</v>
      </c>
      <c r="O4" s="86"/>
      <c r="P4" s="22"/>
      <c r="Q4" s="86"/>
      <c r="R4" s="22"/>
      <c r="S4" s="86"/>
      <c r="T4" s="22"/>
      <c r="U4" s="87" t="s">
        <v>102</v>
      </c>
    </row>
    <row r="5" spans="1:21" ht="21.95" customHeight="1">
      <c r="A5" s="110" t="s">
        <v>167</v>
      </c>
      <c r="B5" s="123" t="s">
        <v>1518</v>
      </c>
      <c r="C5" s="497" t="s">
        <v>407</v>
      </c>
      <c r="D5" s="84">
        <f ca="1">SUM(SUMIF('9.태양광(산)'!$C$3:$C$26,B5,'9.태양광(산)'!$K$3:$K$26),SUMIF('9.태양광(산)'!$E$3:$E$26,B5,'9.태양광(산)'!$L$3:$L$26),SUMIF('9.태양광(산)'!$G$3:$G$26,B5,'9.태양광(산)'!$J$3:$J$26))</f>
        <v>16.600000000000001</v>
      </c>
      <c r="E5" s="84"/>
      <c r="F5" s="84"/>
      <c r="G5" s="84"/>
      <c r="H5" s="84"/>
      <c r="I5" s="84"/>
      <c r="J5" s="112">
        <f t="shared" ref="J5" ca="1" si="3">SUM(D5:I5)</f>
        <v>16.600000000000001</v>
      </c>
      <c r="K5" s="85">
        <v>0.1</v>
      </c>
      <c r="L5" s="22">
        <f t="shared" ref="L5" ca="1" si="4">ROUND(J5+(J5*K5),0)</f>
        <v>18</v>
      </c>
      <c r="M5" s="86">
        <f>0.06*0.8</f>
        <v>4.8000000000000001E-2</v>
      </c>
      <c r="N5" s="22">
        <f t="shared" ref="N5" ca="1" si="5">ROUNDDOWN($J5*M5,4)</f>
        <v>0.79679999999999995</v>
      </c>
      <c r="O5" s="86"/>
      <c r="P5" s="22"/>
      <c r="Q5" s="86"/>
      <c r="R5" s="22"/>
      <c r="S5" s="86"/>
      <c r="T5" s="22"/>
      <c r="U5" s="87" t="s">
        <v>102</v>
      </c>
    </row>
    <row r="6" spans="1:21" ht="21.95" customHeight="1">
      <c r="A6" s="110" t="s">
        <v>158</v>
      </c>
      <c r="B6" s="123" t="s">
        <v>1527</v>
      </c>
      <c r="C6" s="497" t="s">
        <v>407</v>
      </c>
      <c r="D6" s="84">
        <f ca="1">SUM(SUMIF('9.태양광(산)'!$C$3:$C$26,B6,'9.태양광(산)'!$K$3:$K$26),SUMIF('9.태양광(산)'!$E$3:$E$26,B6,'9.태양광(산)'!$L$3:$L$26),SUMIF('9.태양광(산)'!$G$3:$G$26,B6,'9.태양광(산)'!$J$3:$J$26))</f>
        <v>14</v>
      </c>
      <c r="E6" s="84"/>
      <c r="F6" s="84"/>
      <c r="G6" s="84"/>
      <c r="H6" s="84"/>
      <c r="I6" s="84"/>
      <c r="J6" s="112">
        <f t="shared" ref="J6" ca="1" si="6">SUM(D6:I6)</f>
        <v>14</v>
      </c>
      <c r="K6" s="85">
        <v>0.1</v>
      </c>
      <c r="L6" s="22">
        <f t="shared" ref="L6" ca="1" si="7">ROUND(J6+(J6*K6),0)</f>
        <v>15</v>
      </c>
      <c r="M6" s="86">
        <v>0.1</v>
      </c>
      <c r="N6" s="22">
        <f t="shared" ref="N6" ca="1" si="8">ROUNDDOWN($J6*M6,4)</f>
        <v>1.4</v>
      </c>
      <c r="O6" s="86"/>
      <c r="P6" s="22"/>
      <c r="Q6" s="86"/>
      <c r="R6" s="22"/>
      <c r="S6" s="86"/>
      <c r="T6" s="22"/>
      <c r="U6" s="87" t="s">
        <v>102</v>
      </c>
    </row>
    <row r="7" spans="1:21" ht="21.95" customHeight="1">
      <c r="A7" s="110" t="s">
        <v>1224</v>
      </c>
      <c r="B7" s="123" t="s">
        <v>1411</v>
      </c>
      <c r="C7" s="497" t="s">
        <v>407</v>
      </c>
      <c r="D7" s="84">
        <f ca="1">SUM(SUMIF('9.태양광(산)'!$C$3:$C$26,B7,'9.태양광(산)'!$K$3:$K$26),SUMIF('9.태양광(산)'!$E$3:$E$26,B7,'9.태양광(산)'!$L$3:$L$26),SUMIF('9.태양광(산)'!$G$3:$G$26,B7,'9.태양광(산)'!$J$3:$J$26))</f>
        <v>8</v>
      </c>
      <c r="E7" s="84"/>
      <c r="F7" s="84"/>
      <c r="G7" s="84"/>
      <c r="H7" s="84"/>
      <c r="I7" s="84"/>
      <c r="J7" s="112">
        <f t="shared" ref="J7:J10" ca="1" si="9">SUM(D7:I7)</f>
        <v>8</v>
      </c>
      <c r="K7" s="85">
        <v>0.1</v>
      </c>
      <c r="L7" s="22">
        <f t="shared" ref="L7:L10" ca="1" si="10">ROUND(J7+(J7*K7),0)</f>
        <v>9</v>
      </c>
      <c r="M7" s="86">
        <v>4.3999999999999997E-2</v>
      </c>
      <c r="N7" s="22">
        <f t="shared" ca="1" si="2"/>
        <v>0.35199999999999998</v>
      </c>
      <c r="O7" s="86"/>
      <c r="P7" s="22"/>
      <c r="Q7" s="86"/>
      <c r="R7" s="22"/>
      <c r="S7" s="86"/>
      <c r="T7" s="22"/>
      <c r="U7" s="87" t="s">
        <v>102</v>
      </c>
    </row>
    <row r="8" spans="1:21" ht="21.95" customHeight="1">
      <c r="A8" s="110" t="s">
        <v>1224</v>
      </c>
      <c r="B8" s="123" t="s">
        <v>1460</v>
      </c>
      <c r="C8" s="497" t="s">
        <v>407</v>
      </c>
      <c r="D8" s="84">
        <f ca="1">SUM(SUMIF('9.태양광(산)'!$C$3:$C$26,B8,'9.태양광(산)'!$K$3:$K$26),SUMIF('9.태양광(산)'!$E$3:$E$26,B8,'9.태양광(산)'!$L$3:$L$26),SUMIF('9.태양광(산)'!$G$3:$G$26,B8,'9.태양광(산)'!$J$3:$J$26))</f>
        <v>3.5</v>
      </c>
      <c r="E8" s="84"/>
      <c r="F8" s="84"/>
      <c r="G8" s="84"/>
      <c r="H8" s="84"/>
      <c r="I8" s="84"/>
      <c r="J8" s="112">
        <f t="shared" ref="J8" ca="1" si="11">SUM(D8:I8)</f>
        <v>3.5</v>
      </c>
      <c r="K8" s="85">
        <v>0.1</v>
      </c>
      <c r="L8" s="22">
        <f t="shared" ref="L8:L9" ca="1" si="12">ROUND(J8+(J8*K8),0)</f>
        <v>4</v>
      </c>
      <c r="M8" s="86">
        <v>5.8999999999999997E-2</v>
      </c>
      <c r="N8" s="22">
        <f t="shared" ref="N8:N9" ca="1" si="13">ROUNDDOWN($J8*M8,4)</f>
        <v>0.20649999999999999</v>
      </c>
      <c r="O8" s="86"/>
      <c r="P8" s="22"/>
      <c r="Q8" s="86"/>
      <c r="R8" s="22"/>
      <c r="S8" s="86"/>
      <c r="T8" s="22"/>
      <c r="U8" s="87" t="s">
        <v>102</v>
      </c>
    </row>
    <row r="9" spans="1:21" ht="21.95" customHeight="1">
      <c r="A9" s="110" t="s">
        <v>1224</v>
      </c>
      <c r="B9" s="123" t="s">
        <v>1520</v>
      </c>
      <c r="C9" s="497" t="s">
        <v>407</v>
      </c>
      <c r="D9" s="84">
        <f ca="1">SUM(SUMIF('9.태양광(산)'!$C$3:$C$26,B9,'9.태양광(산)'!$K$3:$K$26),SUMIF('9.태양광(산)'!$E$3:$E$26,B9,'9.태양광(산)'!$L$3:$L$26),SUMIF('9.태양광(산)'!$G$3:$G$26,B9,'9.태양광(산)'!$J$3:$J$26))</f>
        <v>4.5</v>
      </c>
      <c r="E9" s="84"/>
      <c r="F9" s="84"/>
      <c r="G9" s="84"/>
      <c r="H9" s="84"/>
      <c r="I9" s="84"/>
      <c r="J9" s="112">
        <f t="shared" ref="J9" ca="1" si="14">SUM(D9:I9)</f>
        <v>4.5</v>
      </c>
      <c r="K9" s="85">
        <v>0.1</v>
      </c>
      <c r="L9" s="22">
        <f t="shared" ca="1" si="12"/>
        <v>5</v>
      </c>
      <c r="M9" s="86">
        <v>8.6999999999999994E-2</v>
      </c>
      <c r="N9" s="22">
        <f t="shared" ca="1" si="13"/>
        <v>0.39150000000000001</v>
      </c>
      <c r="O9" s="86"/>
      <c r="P9" s="22"/>
      <c r="Q9" s="86"/>
      <c r="R9" s="22"/>
      <c r="S9" s="86"/>
      <c r="T9" s="22"/>
      <c r="U9" s="87" t="s">
        <v>102</v>
      </c>
    </row>
    <row r="10" spans="1:21" ht="21.95" customHeight="1">
      <c r="A10" s="110" t="s">
        <v>1224</v>
      </c>
      <c r="B10" s="123" t="s">
        <v>1521</v>
      </c>
      <c r="C10" s="497" t="s">
        <v>407</v>
      </c>
      <c r="D10" s="84">
        <f ca="1">SUM(SUMIF('9.태양광(산)'!$C$3:$C$26,B10,'9.태양광(산)'!$K$3:$K$26),SUMIF('9.태양광(산)'!$E$3:$E$26,B10,'9.태양광(산)'!$L$3:$L$26),SUMIF('9.태양광(산)'!$G$3:$G$26,B10,'9.태양광(산)'!$J$3:$J$26))</f>
        <v>3.5</v>
      </c>
      <c r="E10" s="84"/>
      <c r="F10" s="84"/>
      <c r="G10" s="84"/>
      <c r="H10" s="84"/>
      <c r="I10" s="84"/>
      <c r="J10" s="112">
        <f t="shared" ca="1" si="9"/>
        <v>3.5</v>
      </c>
      <c r="K10" s="85">
        <v>0.1</v>
      </c>
      <c r="L10" s="22">
        <f t="shared" ca="1" si="10"/>
        <v>4</v>
      </c>
      <c r="M10" s="86">
        <v>0.104</v>
      </c>
      <c r="N10" s="22">
        <f t="shared" ca="1" si="2"/>
        <v>0.36399999999999999</v>
      </c>
      <c r="O10" s="86"/>
      <c r="P10" s="22"/>
      <c r="Q10" s="86"/>
      <c r="R10" s="22"/>
      <c r="S10" s="86"/>
      <c r="T10" s="22"/>
      <c r="U10" s="87" t="s">
        <v>102</v>
      </c>
    </row>
    <row r="11" spans="1:21" ht="21.95" customHeight="1">
      <c r="A11" s="110" t="s">
        <v>1221</v>
      </c>
      <c r="B11" s="123" t="s">
        <v>381</v>
      </c>
      <c r="C11" s="497" t="s">
        <v>407</v>
      </c>
      <c r="D11" s="84">
        <f ca="1">SUM(SUMIF('9.태양광(산)'!$C$3:$C$26,B11,'9.태양광(산)'!$K$3:$K$26),SUMIF('9.태양광(산)'!$E$3:$E$26,B11,'9.태양광(산)'!$L$3:$L$26),SUMIF('9.태양광(산)'!$G$3:$G$26,B11,'9.태양광(산)'!$J$3:$J$26))</f>
        <v>72.300000000000011</v>
      </c>
      <c r="E11" s="84"/>
      <c r="F11" s="84"/>
      <c r="G11" s="84"/>
      <c r="H11" s="84"/>
      <c r="I11" s="84"/>
      <c r="J11" s="112">
        <f t="shared" ref="J11" ca="1" si="15">SUM(D11:I11)</f>
        <v>72.300000000000011</v>
      </c>
      <c r="K11" s="85">
        <v>0.1</v>
      </c>
      <c r="L11" s="22">
        <f t="shared" ca="1" si="1"/>
        <v>80</v>
      </c>
      <c r="M11" s="86">
        <f>0.007*1.5</f>
        <v>1.0500000000000001E-2</v>
      </c>
      <c r="N11" s="22">
        <f t="shared" ca="1" si="2"/>
        <v>0.7591</v>
      </c>
      <c r="O11" s="86"/>
      <c r="P11" s="22"/>
      <c r="Q11" s="86"/>
      <c r="R11" s="22"/>
      <c r="S11" s="86"/>
      <c r="T11" s="22"/>
      <c r="U11" s="87" t="s">
        <v>961</v>
      </c>
    </row>
    <row r="12" spans="1:21" ht="21.95" customHeight="1">
      <c r="A12" s="110" t="s">
        <v>391</v>
      </c>
      <c r="B12" s="110" t="s">
        <v>1519</v>
      </c>
      <c r="C12" s="497" t="s">
        <v>407</v>
      </c>
      <c r="D12" s="84">
        <f ca="1">SUM(SUMIF('9.태양광(산)'!$C$3:$C$26,B12,'9.태양광(산)'!$K$3:$K$26),SUMIF('9.태양광(산)'!$E$3:$E$26,B12,'9.태양광(산)'!$L$3:$L$26),SUMIF('9.태양광(산)'!$G$3:$G$26,B12,'9.태양광(산)'!$J$3:$J$26))</f>
        <v>22.1</v>
      </c>
      <c r="E12" s="84"/>
      <c r="F12" s="84"/>
      <c r="G12" s="84"/>
      <c r="H12" s="84"/>
      <c r="I12" s="84"/>
      <c r="J12" s="112">
        <f t="shared" ref="J12:J13" ca="1" si="16">SUM(D12:I12)</f>
        <v>22.1</v>
      </c>
      <c r="K12" s="85">
        <v>0.05</v>
      </c>
      <c r="L12" s="22">
        <f t="shared" ca="1" si="1"/>
        <v>23</v>
      </c>
      <c r="M12" s="86"/>
      <c r="N12" s="22"/>
      <c r="O12" s="86">
        <v>1.6E-2</v>
      </c>
      <c r="P12" s="22">
        <f t="shared" ref="P12:P14" ca="1" si="17">ROUNDDOWN($J12*O12,4)</f>
        <v>0.35360000000000003</v>
      </c>
      <c r="Q12" s="86"/>
      <c r="R12" s="22"/>
      <c r="S12" s="86"/>
      <c r="T12" s="22"/>
      <c r="U12" s="87" t="s">
        <v>1538</v>
      </c>
    </row>
    <row r="13" spans="1:21" ht="21.95" customHeight="1">
      <c r="A13" s="110" t="s">
        <v>391</v>
      </c>
      <c r="B13" s="110" t="s">
        <v>1536</v>
      </c>
      <c r="C13" s="497" t="s">
        <v>407</v>
      </c>
      <c r="D13" s="84">
        <f ca="1">SUM(SUMIF('9.태양광(산)'!$C$3:$C$26,B13,'9.태양광(산)'!$K$3:$K$26),SUMIF('9.태양광(산)'!$E$3:$E$26,B13,'9.태양광(산)'!$L$3:$L$26),SUMIF('9.태양광(산)'!$G$3:$G$26,B13,'9.태양광(산)'!$J$3:$J$26))</f>
        <v>5.5</v>
      </c>
      <c r="E13" s="84"/>
      <c r="F13" s="84"/>
      <c r="G13" s="84"/>
      <c r="H13" s="84"/>
      <c r="I13" s="84"/>
      <c r="J13" s="112">
        <f t="shared" ca="1" si="16"/>
        <v>5.5</v>
      </c>
      <c r="K13" s="85">
        <v>0.05</v>
      </c>
      <c r="L13" s="22">
        <f t="shared" ca="1" si="1"/>
        <v>6</v>
      </c>
      <c r="M13" s="86"/>
      <c r="N13" s="22"/>
      <c r="O13" s="86">
        <f>0.023*1.4</f>
        <v>3.2199999999999999E-2</v>
      </c>
      <c r="P13" s="22">
        <f t="shared" ca="1" si="17"/>
        <v>0.17710000000000001</v>
      </c>
      <c r="Q13" s="86"/>
      <c r="R13" s="22"/>
      <c r="S13" s="86"/>
      <c r="T13" s="22"/>
      <c r="U13" s="87" t="s">
        <v>1396</v>
      </c>
    </row>
    <row r="14" spans="1:21" ht="21.95" customHeight="1">
      <c r="A14" s="110" t="s">
        <v>391</v>
      </c>
      <c r="B14" s="110" t="s">
        <v>1526</v>
      </c>
      <c r="C14" s="497" t="s">
        <v>407</v>
      </c>
      <c r="D14" s="84">
        <f ca="1">SUM(SUMIF('9.태양광(산)'!$C$3:$C$26,B14,'9.태양광(산)'!$K$3:$K$26),SUMIF('9.태양광(산)'!$E$3:$E$26,B14,'9.태양광(산)'!$L$3:$L$26),SUMIF('9.태양광(산)'!$G$3:$G$26,B14,'9.태양광(산)'!$J$3:$J$26))</f>
        <v>66.800000000000011</v>
      </c>
      <c r="E14" s="84"/>
      <c r="F14" s="84"/>
      <c r="G14" s="84"/>
      <c r="H14" s="84"/>
      <c r="I14" s="84"/>
      <c r="J14" s="112">
        <f t="shared" ref="J14" ca="1" si="18">SUM(D14:I14)</f>
        <v>66.800000000000011</v>
      </c>
      <c r="K14" s="85">
        <v>0.05</v>
      </c>
      <c r="L14" s="22">
        <f t="shared" ca="1" si="1"/>
        <v>70</v>
      </c>
      <c r="M14" s="86"/>
      <c r="N14" s="22"/>
      <c r="O14" s="86">
        <f>0.023*2.6</f>
        <v>5.9799999999999999E-2</v>
      </c>
      <c r="P14" s="22">
        <f t="shared" ca="1" si="17"/>
        <v>3.9946000000000002</v>
      </c>
      <c r="Q14" s="86"/>
      <c r="R14" s="22"/>
      <c r="S14" s="86"/>
      <c r="T14" s="22"/>
      <c r="U14" s="87" t="s">
        <v>1396</v>
      </c>
    </row>
    <row r="15" spans="1:21" ht="21.95" customHeight="1">
      <c r="A15" s="110" t="s">
        <v>1413</v>
      </c>
      <c r="B15" s="123" t="s">
        <v>1533</v>
      </c>
      <c r="C15" s="497" t="s">
        <v>407</v>
      </c>
      <c r="D15" s="84">
        <f ca="1">SUM(SUMIF('9.태양광(산)'!$C$3:$C$26,B15,'9.태양광(산)'!$K$3:$K$26),SUMIF('9.태양광(산)'!$E$3:$E$26,B15,'9.태양광(산)'!$L$3:$L$26),SUMIF('9.태양광(산)'!$G$3:$G$26,B15,'9.태양광(산)'!$J$3:$J$26))</f>
        <v>68</v>
      </c>
      <c r="E15" s="84"/>
      <c r="F15" s="84"/>
      <c r="G15" s="84"/>
      <c r="H15" s="84"/>
      <c r="I15" s="84"/>
      <c r="J15" s="112">
        <f t="shared" ref="J15:J23" ca="1" si="19">SUM(D15:I15)</f>
        <v>68</v>
      </c>
      <c r="K15" s="85">
        <v>0.05</v>
      </c>
      <c r="L15" s="22">
        <f t="shared" ref="L15:L24" ca="1" si="20">ROUND(J15+(J15*K15),0)</f>
        <v>71</v>
      </c>
      <c r="M15" s="86"/>
      <c r="N15" s="22"/>
      <c r="O15" s="86">
        <v>1.4999999999999999E-2</v>
      </c>
      <c r="P15" s="22">
        <f t="shared" ref="P15:P16" ca="1" si="21">ROUNDDOWN($J15*O15,4)</f>
        <v>1.02</v>
      </c>
      <c r="Q15" s="86"/>
      <c r="R15" s="22"/>
      <c r="S15" s="86"/>
      <c r="T15" s="22"/>
      <c r="U15" s="87" t="s">
        <v>1415</v>
      </c>
    </row>
    <row r="16" spans="1:21" ht="21.95" customHeight="1">
      <c r="A16" s="110" t="s">
        <v>1392</v>
      </c>
      <c r="B16" s="110" t="s">
        <v>1539</v>
      </c>
      <c r="C16" s="497" t="s">
        <v>89</v>
      </c>
      <c r="D16" s="84">
        <v>2</v>
      </c>
      <c r="E16" s="498"/>
      <c r="F16" s="498"/>
      <c r="G16" s="498"/>
      <c r="H16" s="84"/>
      <c r="I16" s="84"/>
      <c r="J16" s="112">
        <f t="shared" si="19"/>
        <v>2</v>
      </c>
      <c r="K16" s="85"/>
      <c r="L16" s="22">
        <f t="shared" si="20"/>
        <v>2</v>
      </c>
      <c r="M16" s="86"/>
      <c r="N16" s="22"/>
      <c r="O16" s="86">
        <v>0.22</v>
      </c>
      <c r="P16" s="22">
        <f t="shared" si="21"/>
        <v>0.44</v>
      </c>
      <c r="Q16" s="86"/>
      <c r="R16" s="22"/>
      <c r="S16" s="86"/>
      <c r="T16" s="22"/>
      <c r="U16" s="87" t="s">
        <v>1537</v>
      </c>
    </row>
    <row r="17" spans="1:22" ht="21.95" customHeight="1">
      <c r="A17" s="88" t="s">
        <v>1451</v>
      </c>
      <c r="B17" s="231" t="s">
        <v>1540</v>
      </c>
      <c r="C17" s="497" t="s">
        <v>98</v>
      </c>
      <c r="D17" s="498">
        <v>1</v>
      </c>
      <c r="E17" s="498"/>
      <c r="F17" s="498"/>
      <c r="G17" s="498"/>
      <c r="H17" s="84"/>
      <c r="I17" s="84"/>
      <c r="J17" s="112">
        <f t="shared" si="19"/>
        <v>1</v>
      </c>
      <c r="K17" s="85"/>
      <c r="L17" s="22">
        <f t="shared" si="20"/>
        <v>1</v>
      </c>
      <c r="M17" s="86"/>
      <c r="N17" s="22"/>
      <c r="O17" s="86"/>
      <c r="P17" s="22"/>
      <c r="Q17" s="86"/>
      <c r="R17" s="22"/>
      <c r="S17" s="86"/>
      <c r="T17" s="22"/>
      <c r="U17" s="87"/>
    </row>
    <row r="18" spans="1:22" ht="21.95" customHeight="1">
      <c r="A18" s="110" t="s">
        <v>1202</v>
      </c>
      <c r="B18" s="110" t="s">
        <v>1543</v>
      </c>
      <c r="C18" s="497" t="s">
        <v>419</v>
      </c>
      <c r="D18" s="498">
        <v>4</v>
      </c>
      <c r="E18" s="498"/>
      <c r="F18" s="498"/>
      <c r="G18" s="498"/>
      <c r="H18" s="84"/>
      <c r="I18" s="84"/>
      <c r="J18" s="112">
        <f t="shared" si="19"/>
        <v>4</v>
      </c>
      <c r="K18" s="85"/>
      <c r="L18" s="22">
        <f t="shared" si="20"/>
        <v>4</v>
      </c>
      <c r="M18" s="86"/>
      <c r="N18" s="22"/>
      <c r="O18" s="86"/>
      <c r="P18" s="22"/>
      <c r="Q18" s="86"/>
      <c r="R18" s="22"/>
      <c r="S18" s="86"/>
      <c r="T18" s="22"/>
      <c r="U18" s="87"/>
    </row>
    <row r="19" spans="1:22" ht="21.95" customHeight="1">
      <c r="A19" s="110" t="s">
        <v>1202</v>
      </c>
      <c r="B19" s="110" t="s">
        <v>1206</v>
      </c>
      <c r="C19" s="497" t="s">
        <v>419</v>
      </c>
      <c r="D19" s="498">
        <v>2</v>
      </c>
      <c r="E19" s="498"/>
      <c r="F19" s="498"/>
      <c r="G19" s="498"/>
      <c r="H19" s="84"/>
      <c r="I19" s="84"/>
      <c r="J19" s="112">
        <f t="shared" si="19"/>
        <v>2</v>
      </c>
      <c r="K19" s="85"/>
      <c r="L19" s="22">
        <f t="shared" si="20"/>
        <v>2</v>
      </c>
      <c r="M19" s="86"/>
      <c r="N19" s="22"/>
      <c r="O19" s="86"/>
      <c r="P19" s="22"/>
      <c r="Q19" s="86"/>
      <c r="R19" s="22"/>
      <c r="S19" s="86"/>
      <c r="T19" s="22"/>
      <c r="U19" s="87"/>
    </row>
    <row r="20" spans="1:22" ht="21.95" customHeight="1">
      <c r="A20" s="110" t="s">
        <v>1202</v>
      </c>
      <c r="B20" s="110" t="s">
        <v>1541</v>
      </c>
      <c r="C20" s="497" t="s">
        <v>419</v>
      </c>
      <c r="D20" s="498">
        <v>2</v>
      </c>
      <c r="E20" s="498"/>
      <c r="F20" s="498"/>
      <c r="G20" s="498"/>
      <c r="H20" s="84"/>
      <c r="I20" s="84"/>
      <c r="J20" s="112">
        <f t="shared" si="19"/>
        <v>2</v>
      </c>
      <c r="K20" s="85"/>
      <c r="L20" s="22">
        <f t="shared" si="20"/>
        <v>2</v>
      </c>
      <c r="M20" s="86"/>
      <c r="N20" s="22"/>
      <c r="O20" s="86"/>
      <c r="P20" s="22"/>
      <c r="Q20" s="86"/>
      <c r="R20" s="22"/>
      <c r="S20" s="86"/>
      <c r="T20" s="22"/>
      <c r="U20" s="87"/>
    </row>
    <row r="21" spans="1:22" ht="21.95" customHeight="1">
      <c r="A21" s="110" t="s">
        <v>1202</v>
      </c>
      <c r="B21" s="110" t="s">
        <v>1542</v>
      </c>
      <c r="C21" s="497" t="s">
        <v>419</v>
      </c>
      <c r="D21" s="498">
        <v>4</v>
      </c>
      <c r="E21" s="498"/>
      <c r="F21" s="498"/>
      <c r="G21" s="498"/>
      <c r="H21" s="84"/>
      <c r="I21" s="84"/>
      <c r="J21" s="112">
        <f t="shared" si="19"/>
        <v>4</v>
      </c>
      <c r="K21" s="85"/>
      <c r="L21" s="22">
        <f t="shared" si="20"/>
        <v>4</v>
      </c>
      <c r="M21" s="86"/>
      <c r="N21" s="22"/>
      <c r="O21" s="86"/>
      <c r="P21" s="22"/>
      <c r="Q21" s="86"/>
      <c r="R21" s="22"/>
      <c r="S21" s="86"/>
      <c r="T21" s="22"/>
      <c r="U21" s="87"/>
    </row>
    <row r="22" spans="1:22" ht="21.95" customHeight="1">
      <c r="A22" s="88"/>
      <c r="B22" s="231"/>
      <c r="C22" s="497"/>
      <c r="D22" s="498"/>
      <c r="E22" s="498"/>
      <c r="F22" s="498"/>
      <c r="G22" s="498"/>
      <c r="H22" s="84"/>
      <c r="I22" s="84"/>
      <c r="J22" s="112">
        <f t="shared" si="19"/>
        <v>0</v>
      </c>
      <c r="K22" s="85"/>
      <c r="L22" s="22">
        <f t="shared" si="20"/>
        <v>0</v>
      </c>
      <c r="M22" s="86"/>
      <c r="N22" s="22"/>
      <c r="O22" s="86"/>
      <c r="P22" s="22"/>
      <c r="Q22" s="86"/>
      <c r="R22" s="22"/>
      <c r="S22" s="86"/>
      <c r="T22" s="22"/>
      <c r="U22" s="87"/>
    </row>
    <row r="23" spans="1:22" ht="21.95" customHeight="1">
      <c r="A23" s="88"/>
      <c r="B23" s="231"/>
      <c r="C23" s="497"/>
      <c r="D23" s="498"/>
      <c r="E23" s="498"/>
      <c r="F23" s="498"/>
      <c r="G23" s="498"/>
      <c r="H23" s="84"/>
      <c r="I23" s="84"/>
      <c r="J23" s="112">
        <f t="shared" si="19"/>
        <v>0</v>
      </c>
      <c r="K23" s="85"/>
      <c r="L23" s="22">
        <f t="shared" si="20"/>
        <v>0</v>
      </c>
      <c r="M23" s="86"/>
      <c r="N23" s="22"/>
      <c r="O23" s="86"/>
      <c r="P23" s="22"/>
      <c r="Q23" s="86"/>
      <c r="R23" s="22"/>
      <c r="S23" s="86"/>
      <c r="T23" s="22"/>
      <c r="U23" s="87"/>
    </row>
    <row r="24" spans="1:22" ht="21.95" customHeight="1">
      <c r="A24" s="88"/>
      <c r="B24" s="231"/>
      <c r="C24" s="497"/>
      <c r="D24" s="498"/>
      <c r="E24" s="498"/>
      <c r="F24" s="498"/>
      <c r="G24" s="498"/>
      <c r="H24" s="84"/>
      <c r="I24" s="84"/>
      <c r="J24" s="112"/>
      <c r="K24" s="85"/>
      <c r="L24" s="22">
        <f t="shared" si="20"/>
        <v>0</v>
      </c>
      <c r="M24" s="86"/>
      <c r="N24" s="22"/>
      <c r="O24" s="86"/>
      <c r="P24" s="22"/>
      <c r="Q24" s="86"/>
      <c r="R24" s="22"/>
      <c r="S24" s="86"/>
      <c r="T24" s="22"/>
      <c r="U24" s="87"/>
    </row>
    <row r="25" spans="1:22" ht="21.95" customHeight="1">
      <c r="A25" s="88"/>
      <c r="B25" s="231"/>
      <c r="C25" s="497"/>
      <c r="D25" s="498"/>
      <c r="E25" s="498"/>
      <c r="F25" s="498"/>
      <c r="G25" s="498"/>
      <c r="H25" s="84"/>
      <c r="I25" s="84"/>
      <c r="J25" s="112"/>
      <c r="K25" s="85"/>
      <c r="L25" s="22"/>
      <c r="M25" s="86"/>
      <c r="N25" s="22"/>
      <c r="O25" s="86"/>
      <c r="P25" s="22"/>
      <c r="Q25" s="86"/>
      <c r="R25" s="22"/>
      <c r="S25" s="86"/>
      <c r="T25" s="22"/>
      <c r="U25" s="87"/>
    </row>
    <row r="26" spans="1:22" ht="21.95" customHeight="1">
      <c r="A26" s="112" t="s">
        <v>312</v>
      </c>
      <c r="B26" s="112"/>
      <c r="C26" s="112"/>
      <c r="D26" s="112"/>
      <c r="E26" s="112"/>
      <c r="F26" s="112"/>
      <c r="G26" s="112"/>
      <c r="H26" s="112"/>
      <c r="I26" s="112"/>
      <c r="J26" s="90"/>
      <c r="K26" s="91"/>
      <c r="L26" s="22"/>
      <c r="M26" s="84"/>
      <c r="N26" s="84">
        <f ca="1">ROUNDDOWN(SUM(N3:N25)*$V26,1)</f>
        <v>6.1</v>
      </c>
      <c r="O26" s="89"/>
      <c r="P26" s="84">
        <f ca="1">ROUNDDOWN(SUM(P3:P25)*$V26,1)</f>
        <v>5.9</v>
      </c>
      <c r="Q26" s="84"/>
      <c r="R26" s="84">
        <f>ROUNDDOWN(SUM(R3:R25)*$V26,1)</f>
        <v>0</v>
      </c>
      <c r="S26" s="89"/>
      <c r="T26" s="84">
        <f>ROUNDDOWN(SUM(T3:T25)*$V26,1)</f>
        <v>0</v>
      </c>
      <c r="U26" s="87"/>
      <c r="V26" s="119">
        <v>1</v>
      </c>
    </row>
  </sheetData>
  <mergeCells count="13">
    <mergeCell ref="U2:U3"/>
    <mergeCell ref="K2:K3"/>
    <mergeCell ref="L2:L3"/>
    <mergeCell ref="M2:N2"/>
    <mergeCell ref="O2:P2"/>
    <mergeCell ref="Q2:R2"/>
    <mergeCell ref="S2:T2"/>
    <mergeCell ref="J2:J3"/>
    <mergeCell ref="A1:B1"/>
    <mergeCell ref="A2:A3"/>
    <mergeCell ref="B2:B3"/>
    <mergeCell ref="C2:C3"/>
    <mergeCell ref="D2:I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75"/>
  <dimension ref="A1:X26"/>
  <sheetViews>
    <sheetView showZeros="0" view="pageBreakPreview" zoomScaleSheetLayoutView="100" workbookViewId="0">
      <pane xSplit="2" ySplit="2" topLeftCell="C3" activePane="bottomRight" state="frozen"/>
      <selection activeCell="O22" sqref="O22"/>
      <selection pane="topRight" activeCell="O22" sqref="O22"/>
      <selection pane="bottomLeft" activeCell="O22" sqref="O22"/>
      <selection pane="bottomRight" activeCell="O22" sqref="O22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1522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99" t="s">
        <v>1405</v>
      </c>
      <c r="B3" s="118" t="s">
        <v>1406</v>
      </c>
      <c r="C3" s="123" t="s">
        <v>1523</v>
      </c>
      <c r="D3" s="230">
        <v>1</v>
      </c>
      <c r="E3" s="123" t="s">
        <v>1407</v>
      </c>
      <c r="F3" s="230">
        <v>1</v>
      </c>
      <c r="G3" s="123" t="s">
        <v>1524</v>
      </c>
      <c r="H3" s="230">
        <v>1</v>
      </c>
      <c r="I3" s="176" t="s">
        <v>1525</v>
      </c>
      <c r="J3" s="225">
        <f ca="1">djs(I3,1)*H3</f>
        <v>3.5</v>
      </c>
      <c r="K3" s="228">
        <f t="shared" ref="K3" ca="1" si="0">((djs(I3,0)+djs(I3,1))*D3)*H3</f>
        <v>5.5</v>
      </c>
      <c r="L3" s="229">
        <f t="shared" ref="L3" ca="1" si="1">((djs(I3,0)+djs(I3,1))*F3)*H3</f>
        <v>5.5</v>
      </c>
      <c r="M3" s="232"/>
    </row>
    <row r="4" spans="1:24" s="167" customFormat="1" ht="22.5" customHeight="1">
      <c r="A4" s="99"/>
      <c r="B4" s="118"/>
      <c r="C4" s="123"/>
      <c r="D4" s="230"/>
      <c r="E4" s="123"/>
      <c r="F4" s="230"/>
      <c r="G4" s="123"/>
      <c r="H4" s="230"/>
      <c r="I4" s="176"/>
      <c r="J4" s="225">
        <f t="shared" ref="J4:J13" ca="1" si="2">djs(I4,1)*H4</f>
        <v>0</v>
      </c>
      <c r="K4" s="228">
        <f t="shared" ref="K4:K13" ca="1" si="3">((djs(I4,0)+djs(I4,1))*D4)*H4</f>
        <v>0</v>
      </c>
      <c r="L4" s="229">
        <f t="shared" ref="L4:L13" ca="1" si="4">((djs(I4,0)+djs(I4,1))*F4)*H4</f>
        <v>0</v>
      </c>
      <c r="M4" s="232"/>
    </row>
    <row r="5" spans="1:24" s="167" customFormat="1" ht="22.5" customHeight="1">
      <c r="A5" s="118" t="s">
        <v>1406</v>
      </c>
      <c r="B5" s="118" t="s">
        <v>1507</v>
      </c>
      <c r="C5" s="123" t="s">
        <v>1526</v>
      </c>
      <c r="D5" s="230">
        <v>1</v>
      </c>
      <c r="E5" s="123" t="s">
        <v>1407</v>
      </c>
      <c r="F5" s="230">
        <v>1</v>
      </c>
      <c r="G5" s="123" t="s">
        <v>1527</v>
      </c>
      <c r="H5" s="230">
        <v>1</v>
      </c>
      <c r="I5" s="176" t="s">
        <v>1528</v>
      </c>
      <c r="J5" s="225">
        <f t="shared" ca="1" si="2"/>
        <v>14</v>
      </c>
      <c r="K5" s="228">
        <f t="shared" ca="1" si="3"/>
        <v>61.300000000000004</v>
      </c>
      <c r="L5" s="229">
        <f t="shared" ca="1" si="4"/>
        <v>61.300000000000004</v>
      </c>
      <c r="M5" s="232"/>
    </row>
    <row r="6" spans="1:24" s="167" customFormat="1" ht="22.5" customHeight="1">
      <c r="A6" s="118"/>
      <c r="B6" s="118"/>
      <c r="C6" s="123" t="s">
        <v>1526</v>
      </c>
      <c r="D6" s="230">
        <v>1</v>
      </c>
      <c r="E6" s="123" t="s">
        <v>381</v>
      </c>
      <c r="F6" s="230">
        <v>1</v>
      </c>
      <c r="G6" s="123" t="s">
        <v>1520</v>
      </c>
      <c r="H6" s="230">
        <v>1</v>
      </c>
      <c r="I6" s="176" t="s">
        <v>1529</v>
      </c>
      <c r="J6" s="225">
        <f t="shared" ref="J6" ca="1" si="5">djs(I6,1)*H6</f>
        <v>4.5</v>
      </c>
      <c r="K6" s="228">
        <f t="shared" ref="K6" ca="1" si="6">((djs(I6,0)+djs(I6,1))*D6)*H6</f>
        <v>5.5</v>
      </c>
      <c r="L6" s="229">
        <f t="shared" ref="L6" ca="1" si="7">((djs(I6,0)+djs(I6,1))*F6)*H6</f>
        <v>5.5</v>
      </c>
      <c r="M6" s="232"/>
    </row>
    <row r="7" spans="1:24" s="167" customFormat="1" ht="22.5" customHeight="1">
      <c r="A7" s="118"/>
      <c r="B7" s="118"/>
      <c r="C7" s="123"/>
      <c r="D7" s="230"/>
      <c r="E7" s="123"/>
      <c r="F7" s="230"/>
      <c r="G7" s="123"/>
      <c r="H7" s="230"/>
      <c r="I7" s="176"/>
      <c r="J7" s="225"/>
      <c r="K7" s="228"/>
      <c r="L7" s="229"/>
      <c r="M7" s="232"/>
    </row>
    <row r="8" spans="1:24" s="167" customFormat="1" ht="22.5" customHeight="1">
      <c r="A8" s="118" t="s">
        <v>1508</v>
      </c>
      <c r="B8" s="118" t="s">
        <v>1405</v>
      </c>
      <c r="C8" s="123" t="s">
        <v>1401</v>
      </c>
      <c r="D8" s="230">
        <v>1</v>
      </c>
      <c r="E8" s="123"/>
      <c r="F8" s="230"/>
      <c r="G8" s="123" t="s">
        <v>1518</v>
      </c>
      <c r="H8" s="230">
        <v>1</v>
      </c>
      <c r="I8" s="176" t="s">
        <v>1530</v>
      </c>
      <c r="J8" s="225">
        <f t="shared" ca="1" si="2"/>
        <v>16.600000000000001</v>
      </c>
      <c r="K8" s="228">
        <f t="shared" ca="1" si="3"/>
        <v>17.600000000000001</v>
      </c>
      <c r="L8" s="229">
        <f t="shared" ca="1" si="4"/>
        <v>0</v>
      </c>
      <c r="M8" s="232"/>
    </row>
    <row r="9" spans="1:24" s="167" customFormat="1" ht="22.5" customHeight="1">
      <c r="A9" s="118"/>
      <c r="B9" s="118"/>
      <c r="C9" s="123" t="s">
        <v>1401</v>
      </c>
      <c r="D9" s="230">
        <v>1</v>
      </c>
      <c r="E9" s="123"/>
      <c r="F9" s="230"/>
      <c r="G9" s="123" t="s">
        <v>1038</v>
      </c>
      <c r="H9" s="230">
        <v>1</v>
      </c>
      <c r="I9" s="176" t="s">
        <v>1531</v>
      </c>
      <c r="J9" s="225">
        <f t="shared" ref="J9" ca="1" si="8">djs(I9,1)*H9</f>
        <v>3.5</v>
      </c>
      <c r="K9" s="228">
        <f t="shared" ref="K9" ca="1" si="9">((djs(I9,0)+djs(I9,1))*D9)*H9</f>
        <v>4.5</v>
      </c>
      <c r="L9" s="229">
        <f t="shared" ref="L9" ca="1" si="10">((djs(I9,0)+djs(I9,1))*F9)*H9</f>
        <v>0</v>
      </c>
      <c r="M9" s="232"/>
    </row>
    <row r="10" spans="1:24" s="167" customFormat="1" ht="22.5" customHeight="1">
      <c r="A10" s="118"/>
      <c r="B10" s="118"/>
      <c r="C10" s="123"/>
      <c r="D10" s="230"/>
      <c r="E10" s="123"/>
      <c r="F10" s="230"/>
      <c r="G10" s="123"/>
      <c r="H10" s="230"/>
      <c r="I10" s="176"/>
      <c r="J10" s="225"/>
      <c r="K10" s="228"/>
      <c r="L10" s="229"/>
      <c r="M10" s="232"/>
    </row>
    <row r="11" spans="1:24" s="167" customFormat="1" ht="22.5" customHeight="1">
      <c r="A11" s="118" t="s">
        <v>1406</v>
      </c>
      <c r="B11" s="118" t="s">
        <v>1410</v>
      </c>
      <c r="C11" s="123" t="s">
        <v>1533</v>
      </c>
      <c r="D11" s="230">
        <v>1</v>
      </c>
      <c r="E11" s="123"/>
      <c r="F11" s="230"/>
      <c r="G11" s="123" t="s">
        <v>1517</v>
      </c>
      <c r="H11" s="230">
        <v>1</v>
      </c>
      <c r="I11" s="176" t="s">
        <v>1535</v>
      </c>
      <c r="J11" s="225">
        <f t="shared" ca="1" si="2"/>
        <v>46.2</v>
      </c>
      <c r="K11" s="228">
        <f t="shared" ca="1" si="3"/>
        <v>57</v>
      </c>
      <c r="L11" s="229">
        <f t="shared" ca="1" si="4"/>
        <v>0</v>
      </c>
      <c r="M11" s="232"/>
    </row>
    <row r="12" spans="1:24" s="167" customFormat="1" ht="22.5" customHeight="1">
      <c r="A12" s="118"/>
      <c r="B12" s="118"/>
      <c r="C12" s="123" t="s">
        <v>1533</v>
      </c>
      <c r="D12" s="230">
        <v>1</v>
      </c>
      <c r="E12" s="123"/>
      <c r="F12" s="230"/>
      <c r="G12" s="123" t="s">
        <v>1532</v>
      </c>
      <c r="H12" s="230">
        <v>1</v>
      </c>
      <c r="I12" s="176" t="s">
        <v>1534</v>
      </c>
      <c r="J12" s="225">
        <f t="shared" ref="J12" ca="1" si="11">djs(I12,1)*H12</f>
        <v>4.5</v>
      </c>
      <c r="K12" s="228">
        <f t="shared" ref="K12" ca="1" si="12">((djs(I12,0)+djs(I12,1))*D12)*H12</f>
        <v>5.5</v>
      </c>
      <c r="L12" s="229">
        <f t="shared" ref="L12" ca="1" si="13">((djs(I12,0)+djs(I12,1))*F12)*H12</f>
        <v>0</v>
      </c>
      <c r="M12" s="232"/>
    </row>
    <row r="13" spans="1:24" s="167" customFormat="1" ht="22.5" customHeight="1">
      <c r="A13" s="118"/>
      <c r="B13" s="118"/>
      <c r="C13" s="123"/>
      <c r="D13" s="230"/>
      <c r="E13" s="123"/>
      <c r="F13" s="230"/>
      <c r="G13" s="123"/>
      <c r="H13" s="230"/>
      <c r="I13" s="176"/>
      <c r="J13" s="225">
        <f t="shared" ca="1" si="2"/>
        <v>0</v>
      </c>
      <c r="K13" s="228">
        <f t="shared" ca="1" si="3"/>
        <v>0</v>
      </c>
      <c r="L13" s="229">
        <f t="shared" ca="1" si="4"/>
        <v>0</v>
      </c>
      <c r="M13" s="232"/>
    </row>
    <row r="14" spans="1:24" s="167" customFormat="1" ht="22.5" customHeight="1">
      <c r="A14" s="118" t="s">
        <v>1405</v>
      </c>
      <c r="B14" s="118" t="s">
        <v>1406</v>
      </c>
      <c r="C14" s="123" t="s">
        <v>1533</v>
      </c>
      <c r="D14" s="230">
        <v>1</v>
      </c>
      <c r="E14" s="123"/>
      <c r="F14" s="230"/>
      <c r="G14" s="123" t="s">
        <v>1411</v>
      </c>
      <c r="H14" s="230">
        <v>1</v>
      </c>
      <c r="I14" s="176" t="s">
        <v>1525</v>
      </c>
      <c r="J14" s="225">
        <f t="shared" ref="J14" ca="1" si="14">djs(I14,1)*H14</f>
        <v>3.5</v>
      </c>
      <c r="K14" s="228">
        <f t="shared" ref="K14" ca="1" si="15">((djs(I14,0)+djs(I14,1))*D14)*H14</f>
        <v>5.5</v>
      </c>
      <c r="L14" s="229">
        <f t="shared" ref="L14" ca="1" si="16">((djs(I14,0)+djs(I14,1))*F14)*H14</f>
        <v>0</v>
      </c>
      <c r="M14" s="232"/>
    </row>
    <row r="15" spans="1:24" s="167" customFormat="1" ht="22.5" customHeight="1">
      <c r="A15" s="118"/>
      <c r="B15" s="118"/>
      <c r="C15" s="123"/>
      <c r="D15" s="230"/>
      <c r="E15" s="123"/>
      <c r="F15" s="230"/>
      <c r="G15" s="123"/>
      <c r="H15" s="230"/>
      <c r="I15" s="176"/>
      <c r="J15" s="225"/>
      <c r="K15" s="228"/>
      <c r="L15" s="229"/>
      <c r="M15" s="232"/>
    </row>
    <row r="16" spans="1:24" s="167" customFormat="1" ht="22.5" customHeight="1">
      <c r="A16" s="118"/>
      <c r="B16" s="118"/>
      <c r="C16" s="123"/>
      <c r="D16" s="230"/>
      <c r="E16" s="123"/>
      <c r="F16" s="230"/>
      <c r="G16" s="123"/>
      <c r="H16" s="230"/>
      <c r="I16" s="176"/>
      <c r="J16" s="225"/>
      <c r="K16" s="228"/>
      <c r="L16" s="229"/>
      <c r="M16" s="232"/>
    </row>
    <row r="17" spans="1:13" s="167" customFormat="1" ht="22.5" customHeight="1">
      <c r="A17" s="118"/>
      <c r="B17" s="118"/>
      <c r="C17" s="123"/>
      <c r="D17" s="230"/>
      <c r="E17" s="123"/>
      <c r="F17" s="230"/>
      <c r="G17" s="123"/>
      <c r="H17" s="230"/>
      <c r="I17" s="176"/>
      <c r="J17" s="225"/>
      <c r="K17" s="228"/>
      <c r="L17" s="229"/>
      <c r="M17" s="232"/>
    </row>
    <row r="18" spans="1:13" s="167" customFormat="1" ht="22.5" customHeight="1">
      <c r="A18" s="99"/>
      <c r="B18" s="118"/>
      <c r="C18" s="123"/>
      <c r="D18" s="230"/>
      <c r="E18" s="123"/>
      <c r="F18" s="230"/>
      <c r="G18" s="123"/>
      <c r="H18" s="230"/>
      <c r="I18" s="176"/>
      <c r="J18" s="225"/>
      <c r="K18" s="228"/>
      <c r="L18" s="229"/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/>
      <c r="K19" s="228"/>
      <c r="L19" s="229"/>
      <c r="M19" s="232"/>
    </row>
    <row r="20" spans="1:13" s="167" customFormat="1" ht="22.5" customHeight="1">
      <c r="A20" s="118"/>
      <c r="B20" s="118"/>
      <c r="C20" s="123"/>
      <c r="D20" s="230"/>
      <c r="E20" s="123"/>
      <c r="F20" s="230"/>
      <c r="G20" s="123"/>
      <c r="H20" s="230"/>
      <c r="I20" s="176"/>
      <c r="J20" s="225"/>
      <c r="K20" s="228"/>
      <c r="L20" s="229"/>
      <c r="M20" s="232"/>
    </row>
    <row r="21" spans="1:13" s="167" customFormat="1" ht="22.5" customHeight="1">
      <c r="A21" s="118"/>
      <c r="B21" s="118"/>
      <c r="C21" s="123"/>
      <c r="D21" s="230"/>
      <c r="E21" s="123"/>
      <c r="F21" s="230"/>
      <c r="G21" s="123"/>
      <c r="H21" s="230"/>
      <c r="I21" s="176"/>
      <c r="J21" s="225"/>
      <c r="K21" s="228"/>
      <c r="L21" s="229"/>
      <c r="M21" s="232"/>
    </row>
    <row r="22" spans="1:13" s="167" customFormat="1" ht="22.5" customHeight="1">
      <c r="A22" s="118"/>
      <c r="B22" s="118"/>
      <c r="C22" s="123"/>
      <c r="D22" s="230"/>
      <c r="E22" s="123"/>
      <c r="F22" s="230"/>
      <c r="G22" s="123"/>
      <c r="H22" s="230"/>
      <c r="I22" s="176"/>
      <c r="J22" s="225"/>
      <c r="K22" s="228"/>
      <c r="L22" s="229"/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/>
      <c r="K23" s="228"/>
      <c r="L23" s="229"/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/>
      <c r="K24" s="228"/>
      <c r="L24" s="229"/>
      <c r="M24" s="232"/>
    </row>
    <row r="25" spans="1:13" s="167" customFormat="1" ht="22.5" customHeight="1">
      <c r="A25" s="99"/>
      <c r="B25" s="118"/>
      <c r="C25" s="123"/>
      <c r="D25" s="230"/>
      <c r="E25" s="123"/>
      <c r="F25" s="230"/>
      <c r="G25" s="123"/>
      <c r="H25" s="230"/>
      <c r="I25" s="176"/>
      <c r="J25" s="225"/>
      <c r="K25" s="228"/>
      <c r="L25" s="229"/>
      <c r="M25" s="232"/>
    </row>
    <row r="26" spans="1:13" s="167" customFormat="1" ht="22.5" customHeight="1">
      <c r="A26" s="489"/>
      <c r="B26" s="395"/>
      <c r="C26" s="503"/>
      <c r="D26" s="504"/>
      <c r="E26" s="503"/>
      <c r="F26" s="397"/>
      <c r="G26" s="396"/>
      <c r="H26" s="397"/>
      <c r="I26" s="398"/>
      <c r="J26" s="399"/>
      <c r="K26" s="400"/>
      <c r="L26" s="401"/>
      <c r="M26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35">
    <tabColor rgb="FFFF0000"/>
  </sheetPr>
  <dimension ref="A1:V26"/>
  <sheetViews>
    <sheetView showZeros="0" view="pageBreakPreview" zoomScaleSheetLayoutView="100" workbookViewId="0">
      <pane xSplit="3" ySplit="3" topLeftCell="D4" activePane="bottomRight" state="frozen"/>
      <selection activeCell="P15" sqref="P15"/>
      <selection pane="topRight" activeCell="P15" sqref="P15"/>
      <selection pane="bottomLeft" activeCell="P15" sqref="P15"/>
      <selection pane="bottomRight" activeCell="P15" sqref="P15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9" width="5.33203125" style="120" customWidth="1"/>
    <col min="10" max="10" width="6.33203125" style="92" customWidth="1"/>
    <col min="11" max="11" width="4" style="93" customWidth="1"/>
    <col min="12" max="12" width="6.33203125" style="94" customWidth="1"/>
    <col min="13" max="13" width="5.33203125" style="95" customWidth="1"/>
    <col min="14" max="14" width="5.33203125" style="121" customWidth="1"/>
    <col min="15" max="15" width="5.33203125" style="96" customWidth="1"/>
    <col min="16" max="16" width="5.33203125" style="121" customWidth="1"/>
    <col min="17" max="17" width="5.33203125" style="95" customWidth="1"/>
    <col min="18" max="18" width="5.33203125" style="121" customWidth="1"/>
    <col min="19" max="19" width="5.33203125" style="96" customWidth="1"/>
    <col min="20" max="20" width="5.33203125" style="121" customWidth="1"/>
    <col min="21" max="21" width="6.77734375" style="162" customWidth="1"/>
    <col min="22" max="22" width="4.77734375" style="162" customWidth="1"/>
    <col min="23" max="16384" width="8.88671875" style="162"/>
  </cols>
  <sheetData>
    <row r="1" spans="1:21" ht="21.95" customHeight="1">
      <c r="A1" s="676" t="str">
        <f>'11.피뢰(산)'!A1</f>
        <v xml:space="preserve">11. 피뢰설비공사 </v>
      </c>
      <c r="B1" s="676"/>
      <c r="C1" s="75"/>
      <c r="D1" s="76"/>
      <c r="E1" s="76"/>
      <c r="F1" s="76"/>
      <c r="G1" s="76"/>
      <c r="H1" s="76"/>
      <c r="I1" s="76"/>
      <c r="J1" s="116"/>
      <c r="K1" s="77"/>
      <c r="L1" s="78"/>
      <c r="M1" s="79"/>
      <c r="N1" s="79"/>
      <c r="O1" s="80"/>
      <c r="P1" s="79"/>
      <c r="Q1" s="79"/>
      <c r="R1" s="79"/>
      <c r="S1" s="80"/>
      <c r="T1" s="79"/>
      <c r="U1" s="117"/>
    </row>
    <row r="2" spans="1:21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51"/>
      <c r="I2" s="651"/>
      <c r="J2" s="674" t="s">
        <v>318</v>
      </c>
      <c r="K2" s="672" t="s">
        <v>307</v>
      </c>
      <c r="L2" s="672" t="s">
        <v>308</v>
      </c>
      <c r="M2" s="673" t="s">
        <v>100</v>
      </c>
      <c r="N2" s="673"/>
      <c r="O2" s="673" t="s">
        <v>101</v>
      </c>
      <c r="P2" s="673"/>
      <c r="Q2" s="616" t="s">
        <v>146</v>
      </c>
      <c r="R2" s="616"/>
      <c r="S2" s="616" t="s">
        <v>90</v>
      </c>
      <c r="T2" s="616"/>
      <c r="U2" s="616" t="s">
        <v>309</v>
      </c>
    </row>
    <row r="3" spans="1:21" ht="21.95" customHeight="1">
      <c r="A3" s="616"/>
      <c r="B3" s="616"/>
      <c r="C3" s="616"/>
      <c r="D3" s="101"/>
      <c r="E3" s="101"/>
      <c r="F3" s="101"/>
      <c r="G3" s="101"/>
      <c r="H3" s="101"/>
      <c r="I3" s="101"/>
      <c r="J3" s="675"/>
      <c r="K3" s="616"/>
      <c r="L3" s="616"/>
      <c r="M3" s="81" t="s">
        <v>310</v>
      </c>
      <c r="N3" s="82" t="s">
        <v>311</v>
      </c>
      <c r="O3" s="83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616"/>
    </row>
    <row r="4" spans="1:21" ht="21.95" customHeight="1">
      <c r="A4" s="110" t="s">
        <v>167</v>
      </c>
      <c r="B4" s="123" t="s">
        <v>1391</v>
      </c>
      <c r="C4" s="497" t="s">
        <v>407</v>
      </c>
      <c r="D4" s="84">
        <f ca="1">SUM(SUMIF('11.피뢰(산)'!$C$3:$C$26,B4,'11.피뢰(산)'!$K$3:$K$26),SUMIF('11.피뢰(산)'!$E$3:$E$26,B4,'11.피뢰(산)'!$L$3:$L$26),SUMIF('11.피뢰(산)'!$G$3:$G$26,B4,'11.피뢰(산)'!$J$3:$J$26))</f>
        <v>35</v>
      </c>
      <c r="E4" s="84"/>
      <c r="F4" s="84"/>
      <c r="G4" s="84"/>
      <c r="H4" s="84"/>
      <c r="I4" s="84"/>
      <c r="J4" s="112">
        <f t="shared" ref="J4:J25" ca="1" si="0">SUM(D4:I4)</f>
        <v>35</v>
      </c>
      <c r="K4" s="85">
        <v>0.1</v>
      </c>
      <c r="L4" s="22">
        <f t="shared" ref="L4:L25" ca="1" si="1">ROUND(J4+(J4*K4),0)</f>
        <v>39</v>
      </c>
      <c r="M4" s="86">
        <f>0.08*0.8*0.9</f>
        <v>5.7600000000000005E-2</v>
      </c>
      <c r="N4" s="22">
        <f t="shared" ref="N4:N5" ca="1" si="2">ROUNDDOWN($J4*M4,4)</f>
        <v>2.016</v>
      </c>
      <c r="O4" s="86"/>
      <c r="P4" s="22"/>
      <c r="Q4" s="86"/>
      <c r="R4" s="22"/>
      <c r="S4" s="86"/>
      <c r="T4" s="22"/>
      <c r="U4" s="87" t="s">
        <v>1560</v>
      </c>
    </row>
    <row r="5" spans="1:21" ht="21.95" customHeight="1">
      <c r="A5" s="110" t="s">
        <v>386</v>
      </c>
      <c r="B5" s="110" t="s">
        <v>381</v>
      </c>
      <c r="C5" s="497" t="s">
        <v>407</v>
      </c>
      <c r="D5" s="84">
        <f ca="1">SUM(SUMIF('11.피뢰(산)'!$C$3:$C$26,B5,'11.피뢰(산)'!$K$3:$K$26),SUMIF('11.피뢰(산)'!$E$3:$E$26,B5,'11.피뢰(산)'!$L$3:$L$26),SUMIF('11.피뢰(산)'!$G$3:$G$26,B5,'11.피뢰(산)'!$J$3:$J$26))</f>
        <v>41</v>
      </c>
      <c r="E5" s="84"/>
      <c r="F5" s="84"/>
      <c r="G5" s="84"/>
      <c r="H5" s="84"/>
      <c r="I5" s="84"/>
      <c r="J5" s="112">
        <f t="shared" ca="1" si="0"/>
        <v>41</v>
      </c>
      <c r="K5" s="85">
        <v>0.1</v>
      </c>
      <c r="L5" s="22">
        <f t="shared" ca="1" si="1"/>
        <v>45</v>
      </c>
      <c r="M5" s="86">
        <v>7.0000000000000001E-3</v>
      </c>
      <c r="N5" s="22">
        <f t="shared" ca="1" si="2"/>
        <v>0.28699999999999998</v>
      </c>
      <c r="O5" s="86"/>
      <c r="P5" s="22"/>
      <c r="Q5" s="86"/>
      <c r="R5" s="22"/>
      <c r="S5" s="86"/>
      <c r="T5" s="22"/>
      <c r="U5" s="87" t="s">
        <v>1561</v>
      </c>
    </row>
    <row r="6" spans="1:21" ht="21.95" customHeight="1">
      <c r="A6" s="110" t="s">
        <v>1688</v>
      </c>
      <c r="B6" s="110" t="s">
        <v>1689</v>
      </c>
      <c r="C6" s="497" t="s">
        <v>407</v>
      </c>
      <c r="D6" s="84">
        <f ca="1">SUM(SUMIF('11.피뢰(산)'!$C$3:$C$26,B6,'11.피뢰(산)'!$K$3:$K$26),SUMIF('11.피뢰(산)'!$E$3:$E$26,B6,'11.피뢰(산)'!$L$3:$L$26),SUMIF('11.피뢰(산)'!$G$3:$G$26,B6,'11.피뢰(산)'!$J$3:$J$26))</f>
        <v>24</v>
      </c>
      <c r="E6" s="84"/>
      <c r="F6" s="84"/>
      <c r="G6" s="84"/>
      <c r="H6" s="84"/>
      <c r="I6" s="84"/>
      <c r="J6" s="112">
        <f t="shared" ref="J6" ca="1" si="3">SUM(D6:I6)</f>
        <v>24</v>
      </c>
      <c r="K6" s="85">
        <v>0.1</v>
      </c>
      <c r="L6" s="22">
        <f t="shared" ref="L6" ca="1" si="4">ROUND(J6+(J6*K6),0)</f>
        <v>26</v>
      </c>
      <c r="M6" s="86">
        <v>8.0000000000000002E-3</v>
      </c>
      <c r="N6" s="22">
        <f t="shared" ref="N6" ca="1" si="5">ROUNDDOWN($J6*M6,4)</f>
        <v>0.192</v>
      </c>
      <c r="O6" s="86"/>
      <c r="P6" s="22"/>
      <c r="Q6" s="86"/>
      <c r="R6" s="22"/>
      <c r="S6" s="86"/>
      <c r="T6" s="22"/>
      <c r="U6" s="87" t="s">
        <v>1561</v>
      </c>
    </row>
    <row r="7" spans="1:21" ht="21.95" customHeight="1">
      <c r="A7" s="88" t="s">
        <v>1555</v>
      </c>
      <c r="B7" s="231" t="s">
        <v>1557</v>
      </c>
      <c r="C7" s="497" t="s">
        <v>89</v>
      </c>
      <c r="D7" s="498">
        <v>2</v>
      </c>
      <c r="E7" s="498"/>
      <c r="F7" s="498"/>
      <c r="G7" s="498"/>
      <c r="H7" s="84"/>
      <c r="I7" s="84"/>
      <c r="J7" s="112">
        <f t="shared" si="0"/>
        <v>2</v>
      </c>
      <c r="K7" s="85"/>
      <c r="L7" s="22">
        <f t="shared" si="1"/>
        <v>2</v>
      </c>
      <c r="M7" s="86"/>
      <c r="N7" s="22">
        <f t="shared" ref="N7:N21" si="6">ROUNDDOWN($J7*M7,4)</f>
        <v>0</v>
      </c>
      <c r="O7" s="86"/>
      <c r="P7" s="22"/>
      <c r="Q7" s="86">
        <v>0.11</v>
      </c>
      <c r="R7" s="22">
        <f t="shared" ref="R7:T7" si="7">ROUNDDOWN($J7*Q7,4)</f>
        <v>0.22</v>
      </c>
      <c r="S7" s="86">
        <v>0.08</v>
      </c>
      <c r="T7" s="22">
        <f t="shared" si="7"/>
        <v>0.16</v>
      </c>
      <c r="U7" s="87" t="s">
        <v>1561</v>
      </c>
    </row>
    <row r="8" spans="1:21" ht="21.95" customHeight="1">
      <c r="A8" s="88" t="s">
        <v>1556</v>
      </c>
      <c r="B8" s="231" t="s">
        <v>1684</v>
      </c>
      <c r="C8" s="497" t="s">
        <v>89</v>
      </c>
      <c r="D8" s="498">
        <v>1</v>
      </c>
      <c r="E8" s="498"/>
      <c r="F8" s="498"/>
      <c r="G8" s="498"/>
      <c r="H8" s="84"/>
      <c r="I8" s="84"/>
      <c r="J8" s="112">
        <f t="shared" si="0"/>
        <v>1</v>
      </c>
      <c r="K8" s="85"/>
      <c r="L8" s="22">
        <f t="shared" si="1"/>
        <v>1</v>
      </c>
      <c r="M8" s="86">
        <v>0.66</v>
      </c>
      <c r="N8" s="22">
        <f t="shared" si="6"/>
        <v>0.66</v>
      </c>
      <c r="O8" s="86"/>
      <c r="P8" s="22"/>
      <c r="Q8" s="86"/>
      <c r="R8" s="22"/>
      <c r="S8" s="86"/>
      <c r="T8" s="22"/>
      <c r="U8" s="87" t="s">
        <v>961</v>
      </c>
    </row>
    <row r="9" spans="1:21" ht="21.95" customHeight="1">
      <c r="A9" s="88" t="s">
        <v>1690</v>
      </c>
      <c r="B9" s="231"/>
      <c r="C9" s="497" t="s">
        <v>89</v>
      </c>
      <c r="D9" s="498">
        <v>6</v>
      </c>
      <c r="E9" s="498"/>
      <c r="F9" s="498"/>
      <c r="G9" s="498"/>
      <c r="H9" s="84"/>
      <c r="I9" s="84"/>
      <c r="J9" s="112">
        <f t="shared" si="0"/>
        <v>6</v>
      </c>
      <c r="K9" s="85"/>
      <c r="L9" s="22">
        <f t="shared" si="1"/>
        <v>6</v>
      </c>
      <c r="M9" s="86">
        <v>0.11</v>
      </c>
      <c r="N9" s="22">
        <f t="shared" ref="N9:N18" si="8">ROUNDDOWN($J9*M9,4)</f>
        <v>0.66</v>
      </c>
      <c r="O9" s="86"/>
      <c r="P9" s="22"/>
      <c r="Q9" s="86"/>
      <c r="R9" s="22"/>
      <c r="S9" s="86"/>
      <c r="T9" s="22"/>
      <c r="U9" s="87" t="s">
        <v>1561</v>
      </c>
    </row>
    <row r="10" spans="1:21" ht="21.95" customHeight="1">
      <c r="A10" s="88" t="s">
        <v>1691</v>
      </c>
      <c r="B10" s="231"/>
      <c r="C10" s="497" t="s">
        <v>89</v>
      </c>
      <c r="D10" s="498">
        <v>6</v>
      </c>
      <c r="E10" s="498"/>
      <c r="F10" s="498"/>
      <c r="G10" s="498"/>
      <c r="H10" s="84"/>
      <c r="I10" s="84"/>
      <c r="J10" s="112">
        <f t="shared" ref="J10" si="9">SUM(D10:I10)</f>
        <v>6</v>
      </c>
      <c r="K10" s="85"/>
      <c r="L10" s="22">
        <f t="shared" si="1"/>
        <v>6</v>
      </c>
      <c r="M10" s="86">
        <v>0.27</v>
      </c>
      <c r="N10" s="22">
        <f t="shared" si="8"/>
        <v>1.62</v>
      </c>
      <c r="O10" s="86"/>
      <c r="P10" s="22"/>
      <c r="Q10" s="86"/>
      <c r="R10" s="22"/>
      <c r="S10" s="86">
        <v>0.46</v>
      </c>
      <c r="T10" s="22">
        <f t="shared" ref="T10" si="10">ROUNDDOWN($J10*S10,4)</f>
        <v>2.76</v>
      </c>
      <c r="U10" s="87" t="s">
        <v>961</v>
      </c>
    </row>
    <row r="11" spans="1:21" ht="21.95" customHeight="1">
      <c r="A11" s="88"/>
      <c r="B11" s="231"/>
      <c r="C11" s="497"/>
      <c r="D11" s="498"/>
      <c r="E11" s="498"/>
      <c r="F11" s="498"/>
      <c r="G11" s="498"/>
      <c r="H11" s="84"/>
      <c r="I11" s="84"/>
      <c r="J11" s="112">
        <f t="shared" ref="J11:J12" si="11">SUM(D11:I11)</f>
        <v>0</v>
      </c>
      <c r="K11" s="85"/>
      <c r="L11" s="22">
        <f t="shared" si="1"/>
        <v>0</v>
      </c>
      <c r="M11" s="86"/>
      <c r="N11" s="22">
        <f t="shared" si="8"/>
        <v>0</v>
      </c>
      <c r="O11" s="86"/>
      <c r="P11" s="22"/>
      <c r="Q11" s="86"/>
      <c r="R11" s="22"/>
      <c r="S11" s="86"/>
      <c r="T11" s="22"/>
      <c r="U11" s="87"/>
    </row>
    <row r="12" spans="1:21" ht="21.95" customHeight="1">
      <c r="A12" s="88"/>
      <c r="B12" s="231"/>
      <c r="C12" s="497"/>
      <c r="D12" s="498"/>
      <c r="E12" s="498"/>
      <c r="F12" s="498"/>
      <c r="G12" s="498"/>
      <c r="H12" s="84"/>
      <c r="I12" s="84"/>
      <c r="J12" s="112">
        <f t="shared" si="11"/>
        <v>0</v>
      </c>
      <c r="K12" s="85"/>
      <c r="L12" s="22">
        <f t="shared" si="1"/>
        <v>0</v>
      </c>
      <c r="M12" s="86"/>
      <c r="N12" s="22">
        <f t="shared" si="8"/>
        <v>0</v>
      </c>
      <c r="O12" s="86"/>
      <c r="P12" s="22"/>
      <c r="Q12" s="86"/>
      <c r="R12" s="22"/>
      <c r="S12" s="86"/>
      <c r="T12" s="22"/>
      <c r="U12" s="87"/>
    </row>
    <row r="13" spans="1:21" ht="21.95" customHeight="1">
      <c r="A13" s="88"/>
      <c r="B13" s="231"/>
      <c r="C13" s="497"/>
      <c r="D13" s="498"/>
      <c r="E13" s="498"/>
      <c r="F13" s="498"/>
      <c r="G13" s="498"/>
      <c r="H13" s="84"/>
      <c r="I13" s="84"/>
      <c r="J13" s="112">
        <f t="shared" ref="J13" si="12">SUM(D13:I13)</f>
        <v>0</v>
      </c>
      <c r="K13" s="85"/>
      <c r="L13" s="22">
        <f t="shared" si="1"/>
        <v>0</v>
      </c>
      <c r="M13" s="86"/>
      <c r="N13" s="22">
        <f t="shared" si="8"/>
        <v>0</v>
      </c>
      <c r="O13" s="86"/>
      <c r="P13" s="22"/>
      <c r="Q13" s="86"/>
      <c r="R13" s="22"/>
      <c r="S13" s="86"/>
      <c r="T13" s="22"/>
      <c r="U13" s="87"/>
    </row>
    <row r="14" spans="1:21" ht="21.95" customHeight="1">
      <c r="A14" s="88"/>
      <c r="B14" s="231"/>
      <c r="C14" s="497"/>
      <c r="D14" s="498"/>
      <c r="E14" s="498"/>
      <c r="F14" s="498"/>
      <c r="G14" s="498"/>
      <c r="H14" s="84"/>
      <c r="I14" s="84"/>
      <c r="J14" s="112">
        <f t="shared" ref="J14:J15" si="13">SUM(D14:I14)</f>
        <v>0</v>
      </c>
      <c r="K14" s="85"/>
      <c r="L14" s="22">
        <f t="shared" si="1"/>
        <v>0</v>
      </c>
      <c r="M14" s="86"/>
      <c r="N14" s="22">
        <f t="shared" si="8"/>
        <v>0</v>
      </c>
      <c r="O14" s="86"/>
      <c r="P14" s="22"/>
      <c r="Q14" s="86"/>
      <c r="R14" s="22"/>
      <c r="S14" s="86"/>
      <c r="T14" s="22"/>
      <c r="U14" s="87"/>
    </row>
    <row r="15" spans="1:21" ht="21.95" customHeight="1">
      <c r="A15" s="88"/>
      <c r="B15" s="231"/>
      <c r="C15" s="497"/>
      <c r="D15" s="498"/>
      <c r="E15" s="498"/>
      <c r="F15" s="498"/>
      <c r="G15" s="498"/>
      <c r="H15" s="84"/>
      <c r="I15" s="84"/>
      <c r="J15" s="112">
        <f t="shared" si="13"/>
        <v>0</v>
      </c>
      <c r="K15" s="85"/>
      <c r="L15" s="22">
        <f t="shared" ref="L15:L18" si="14">ROUND(J15+(J15*K15),0)</f>
        <v>0</v>
      </c>
      <c r="M15" s="86"/>
      <c r="N15" s="22">
        <f t="shared" si="8"/>
        <v>0</v>
      </c>
      <c r="O15" s="86"/>
      <c r="P15" s="22"/>
      <c r="Q15" s="86"/>
      <c r="R15" s="22"/>
      <c r="S15" s="86"/>
      <c r="T15" s="22"/>
      <c r="U15" s="87"/>
    </row>
    <row r="16" spans="1:21" ht="21.95" customHeight="1">
      <c r="A16" s="88"/>
      <c r="B16" s="231"/>
      <c r="C16" s="497"/>
      <c r="D16" s="498"/>
      <c r="E16" s="498"/>
      <c r="F16" s="498"/>
      <c r="G16" s="498"/>
      <c r="H16" s="84"/>
      <c r="I16" s="84"/>
      <c r="J16" s="112">
        <f t="shared" ref="J16" si="15">SUM(D16:I16)</f>
        <v>0</v>
      </c>
      <c r="K16" s="85"/>
      <c r="L16" s="22">
        <f t="shared" si="14"/>
        <v>0</v>
      </c>
      <c r="M16" s="86"/>
      <c r="N16" s="22">
        <f t="shared" si="8"/>
        <v>0</v>
      </c>
      <c r="O16" s="86"/>
      <c r="P16" s="22"/>
      <c r="Q16" s="86"/>
      <c r="R16" s="22"/>
      <c r="S16" s="86"/>
      <c r="T16" s="22"/>
      <c r="U16" s="87"/>
    </row>
    <row r="17" spans="1:22" ht="21.95" customHeight="1">
      <c r="A17" s="88"/>
      <c r="B17" s="231"/>
      <c r="C17" s="497"/>
      <c r="D17" s="498"/>
      <c r="E17" s="498"/>
      <c r="F17" s="498"/>
      <c r="G17" s="498"/>
      <c r="H17" s="84"/>
      <c r="I17" s="84"/>
      <c r="J17" s="112">
        <f t="shared" ref="J17" si="16">SUM(D17:I17)</f>
        <v>0</v>
      </c>
      <c r="K17" s="85"/>
      <c r="L17" s="22">
        <f t="shared" si="14"/>
        <v>0</v>
      </c>
      <c r="M17" s="86"/>
      <c r="N17" s="22">
        <f t="shared" si="8"/>
        <v>0</v>
      </c>
      <c r="O17" s="86"/>
      <c r="P17" s="22"/>
      <c r="Q17" s="86"/>
      <c r="R17" s="22"/>
      <c r="S17" s="86"/>
      <c r="T17" s="22"/>
      <c r="U17" s="87"/>
    </row>
    <row r="18" spans="1:22" ht="21.95" customHeight="1">
      <c r="A18" s="88"/>
      <c r="B18" s="231"/>
      <c r="C18" s="497"/>
      <c r="D18" s="498"/>
      <c r="E18" s="498"/>
      <c r="F18" s="498"/>
      <c r="G18" s="498"/>
      <c r="H18" s="84"/>
      <c r="I18" s="84"/>
      <c r="J18" s="112">
        <f t="shared" ref="J18" si="17">SUM(D18:I18)</f>
        <v>0</v>
      </c>
      <c r="K18" s="85"/>
      <c r="L18" s="22">
        <f t="shared" si="14"/>
        <v>0</v>
      </c>
      <c r="M18" s="86"/>
      <c r="N18" s="22">
        <f t="shared" si="8"/>
        <v>0</v>
      </c>
      <c r="O18" s="86"/>
      <c r="P18" s="22"/>
      <c r="Q18" s="86"/>
      <c r="R18" s="22"/>
      <c r="S18" s="86"/>
      <c r="T18" s="22"/>
      <c r="U18" s="87"/>
    </row>
    <row r="19" spans="1:22" ht="21.95" customHeight="1">
      <c r="A19" s="88"/>
      <c r="B19" s="231"/>
      <c r="C19" s="497"/>
      <c r="D19" s="498"/>
      <c r="E19" s="498"/>
      <c r="F19" s="498"/>
      <c r="G19" s="498"/>
      <c r="H19" s="84"/>
      <c r="I19" s="84"/>
      <c r="J19" s="112">
        <f t="shared" ref="J19" si="18">SUM(D19:I19)</f>
        <v>0</v>
      </c>
      <c r="K19" s="85"/>
      <c r="L19" s="22">
        <f t="shared" ref="L19:L24" si="19">ROUND(J19+(J19*K19),0)</f>
        <v>0</v>
      </c>
      <c r="M19" s="86"/>
      <c r="N19" s="22">
        <f t="shared" si="6"/>
        <v>0</v>
      </c>
      <c r="O19" s="86"/>
      <c r="P19" s="22"/>
      <c r="Q19" s="86"/>
      <c r="R19" s="22"/>
      <c r="S19" s="86"/>
      <c r="T19" s="22"/>
      <c r="U19" s="87"/>
    </row>
    <row r="20" spans="1:22" ht="21.95" customHeight="1">
      <c r="A20" s="88"/>
      <c r="B20" s="231"/>
      <c r="C20" s="497"/>
      <c r="D20" s="498"/>
      <c r="E20" s="498"/>
      <c r="F20" s="498"/>
      <c r="G20" s="498"/>
      <c r="H20" s="84"/>
      <c r="I20" s="84"/>
      <c r="J20" s="112">
        <f t="shared" ref="J20" si="20">SUM(D20:I20)</f>
        <v>0</v>
      </c>
      <c r="K20" s="85"/>
      <c r="L20" s="22">
        <f t="shared" si="19"/>
        <v>0</v>
      </c>
      <c r="M20" s="86"/>
      <c r="N20" s="22">
        <f t="shared" si="6"/>
        <v>0</v>
      </c>
      <c r="O20" s="86"/>
      <c r="P20" s="22"/>
      <c r="Q20" s="86"/>
      <c r="R20" s="22"/>
      <c r="S20" s="86"/>
      <c r="T20" s="22"/>
      <c r="U20" s="87"/>
    </row>
    <row r="21" spans="1:22" ht="21.95" customHeight="1">
      <c r="A21" s="88"/>
      <c r="B21" s="231"/>
      <c r="C21" s="497"/>
      <c r="D21" s="498"/>
      <c r="E21" s="498"/>
      <c r="F21" s="498"/>
      <c r="G21" s="498"/>
      <c r="H21" s="84"/>
      <c r="I21" s="84"/>
      <c r="J21" s="112">
        <f t="shared" ref="J21:J22" si="21">SUM(D21:I21)</f>
        <v>0</v>
      </c>
      <c r="K21" s="85"/>
      <c r="L21" s="22">
        <f t="shared" si="19"/>
        <v>0</v>
      </c>
      <c r="M21" s="86"/>
      <c r="N21" s="22">
        <f t="shared" si="6"/>
        <v>0</v>
      </c>
      <c r="O21" s="86"/>
      <c r="P21" s="22"/>
      <c r="Q21" s="86"/>
      <c r="R21" s="22"/>
      <c r="S21" s="86"/>
      <c r="T21" s="22"/>
      <c r="U21" s="87"/>
    </row>
    <row r="22" spans="1:22" ht="21.95" customHeight="1">
      <c r="A22" s="88"/>
      <c r="B22" s="231"/>
      <c r="C22" s="497"/>
      <c r="D22" s="498"/>
      <c r="E22" s="498"/>
      <c r="F22" s="498"/>
      <c r="G22" s="498"/>
      <c r="H22" s="84"/>
      <c r="I22" s="84"/>
      <c r="J22" s="112">
        <f t="shared" si="21"/>
        <v>0</v>
      </c>
      <c r="K22" s="85"/>
      <c r="L22" s="22">
        <f t="shared" si="19"/>
        <v>0</v>
      </c>
      <c r="M22" s="86"/>
      <c r="N22" s="22">
        <f t="shared" ref="N22:N24" si="22">ROUNDDOWN($J22*M22,4)</f>
        <v>0</v>
      </c>
      <c r="O22" s="86"/>
      <c r="P22" s="22"/>
      <c r="Q22" s="86"/>
      <c r="R22" s="22"/>
      <c r="S22" s="86"/>
      <c r="T22" s="22"/>
      <c r="U22" s="87"/>
    </row>
    <row r="23" spans="1:22" ht="21.95" customHeight="1">
      <c r="A23" s="88"/>
      <c r="B23" s="231"/>
      <c r="C23" s="497"/>
      <c r="D23" s="498"/>
      <c r="E23" s="498"/>
      <c r="F23" s="498"/>
      <c r="G23" s="498"/>
      <c r="H23" s="84"/>
      <c r="I23" s="84"/>
      <c r="J23" s="112">
        <f t="shared" ref="J23" si="23">SUM(D23:I23)</f>
        <v>0</v>
      </c>
      <c r="K23" s="85"/>
      <c r="L23" s="22">
        <f t="shared" si="19"/>
        <v>0</v>
      </c>
      <c r="M23" s="86"/>
      <c r="N23" s="22">
        <f t="shared" si="22"/>
        <v>0</v>
      </c>
      <c r="O23" s="86"/>
      <c r="P23" s="22"/>
      <c r="Q23" s="86"/>
      <c r="R23" s="22"/>
      <c r="S23" s="86"/>
      <c r="T23" s="22"/>
      <c r="U23" s="87"/>
    </row>
    <row r="24" spans="1:22" ht="21.95" customHeight="1">
      <c r="A24" s="88"/>
      <c r="B24" s="231"/>
      <c r="C24" s="497"/>
      <c r="D24" s="498"/>
      <c r="E24" s="498"/>
      <c r="F24" s="498"/>
      <c r="G24" s="498"/>
      <c r="H24" s="84"/>
      <c r="I24" s="84"/>
      <c r="J24" s="112">
        <f t="shared" ref="J24" si="24">SUM(D24:I24)</f>
        <v>0</v>
      </c>
      <c r="K24" s="85"/>
      <c r="L24" s="22">
        <f t="shared" si="19"/>
        <v>0</v>
      </c>
      <c r="M24" s="86"/>
      <c r="N24" s="22">
        <f t="shared" si="22"/>
        <v>0</v>
      </c>
      <c r="O24" s="86"/>
      <c r="P24" s="22"/>
      <c r="Q24" s="86"/>
      <c r="R24" s="22"/>
      <c r="S24" s="86"/>
      <c r="T24" s="22"/>
      <c r="U24" s="87"/>
    </row>
    <row r="25" spans="1:22" ht="21.95" customHeight="1">
      <c r="A25" s="88"/>
      <c r="B25" s="231"/>
      <c r="C25" s="497"/>
      <c r="D25" s="498"/>
      <c r="E25" s="498"/>
      <c r="F25" s="498"/>
      <c r="G25" s="498"/>
      <c r="H25" s="84"/>
      <c r="I25" s="84"/>
      <c r="J25" s="112">
        <f t="shared" si="0"/>
        <v>0</v>
      </c>
      <c r="K25" s="85"/>
      <c r="L25" s="22">
        <f t="shared" si="1"/>
        <v>0</v>
      </c>
      <c r="M25" s="86"/>
      <c r="N25" s="22">
        <f t="shared" ref="N25" si="25">ROUNDDOWN($J25*M25,4)</f>
        <v>0</v>
      </c>
      <c r="O25" s="86"/>
      <c r="P25" s="22"/>
      <c r="Q25" s="86"/>
      <c r="R25" s="22"/>
      <c r="S25" s="86"/>
      <c r="T25" s="22"/>
      <c r="U25" s="87"/>
    </row>
    <row r="26" spans="1:22" ht="21.95" customHeight="1">
      <c r="A26" s="112" t="s">
        <v>312</v>
      </c>
      <c r="B26" s="112"/>
      <c r="C26" s="112"/>
      <c r="D26" s="112"/>
      <c r="E26" s="112"/>
      <c r="F26" s="112"/>
      <c r="G26" s="112"/>
      <c r="H26" s="112"/>
      <c r="I26" s="112"/>
      <c r="J26" s="90"/>
      <c r="K26" s="91"/>
      <c r="L26" s="22"/>
      <c r="M26" s="84"/>
      <c r="N26" s="84">
        <f ca="1">ROUNDDOWN(SUM(N3:N25)*$V26,1)</f>
        <v>5.4</v>
      </c>
      <c r="O26" s="89"/>
      <c r="P26" s="84">
        <f>ROUNDDOWN(SUM(P3:P25)*$V26,1)</f>
        <v>0</v>
      </c>
      <c r="Q26" s="84"/>
      <c r="R26" s="84">
        <f>ROUNDDOWN(SUM(R3:R25)*$V26,1)</f>
        <v>0.2</v>
      </c>
      <c r="S26" s="89"/>
      <c r="T26" s="84">
        <f>ROUNDDOWN(SUM(T3:T25)*$V26,1)</f>
        <v>2.9</v>
      </c>
      <c r="U26" s="87"/>
      <c r="V26" s="119">
        <v>1</v>
      </c>
    </row>
  </sheetData>
  <mergeCells count="13">
    <mergeCell ref="U2:U3"/>
    <mergeCell ref="K2:K3"/>
    <mergeCell ref="L2:L3"/>
    <mergeCell ref="M2:N2"/>
    <mergeCell ref="O2:P2"/>
    <mergeCell ref="Q2:R2"/>
    <mergeCell ref="S2:T2"/>
    <mergeCell ref="J2:J3"/>
    <mergeCell ref="A1:B1"/>
    <mergeCell ref="A2:A3"/>
    <mergeCell ref="B2:B3"/>
    <mergeCell ref="C2:C3"/>
    <mergeCell ref="D2:I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77"/>
  <dimension ref="A1:X26"/>
  <sheetViews>
    <sheetView showZeros="0" view="pageBreakPreview" zoomScaleSheetLayoutView="100" workbookViewId="0">
      <pane xSplit="2" ySplit="2" topLeftCell="C3" activePane="bottomRight" state="frozen"/>
      <selection activeCell="P15" sqref="P15"/>
      <selection pane="topRight" activeCell="P15" sqref="P15"/>
      <selection pane="bottomLeft" activeCell="P15" sqref="P15"/>
      <selection pane="bottomRight" activeCell="P15" sqref="P15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1683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118" t="s">
        <v>1559</v>
      </c>
      <c r="B3" s="118"/>
      <c r="C3" s="123" t="s">
        <v>381</v>
      </c>
      <c r="D3" s="230">
        <v>1</v>
      </c>
      <c r="E3" s="123"/>
      <c r="F3" s="230"/>
      <c r="G3" s="123" t="s">
        <v>1391</v>
      </c>
      <c r="H3" s="230">
        <v>4</v>
      </c>
      <c r="I3" s="227" t="s">
        <v>1035</v>
      </c>
      <c r="J3" s="225">
        <f ca="1">djs(I3,1)*H3</f>
        <v>18</v>
      </c>
      <c r="K3" s="228">
        <f t="shared" ref="K3:K7" ca="1" si="0">((djs(I3,0)+djs(I3,1))*D3)*H3</f>
        <v>22</v>
      </c>
      <c r="L3" s="229">
        <f t="shared" ref="L3:L7" ca="1" si="1">((djs(I3,0)+djs(I3,1))*F3)*H3</f>
        <v>0</v>
      </c>
      <c r="M3" s="232"/>
    </row>
    <row r="4" spans="1:24" s="167" customFormat="1" ht="22.5" customHeight="1">
      <c r="A4" s="99"/>
      <c r="B4" s="118"/>
      <c r="C4" s="123" t="s">
        <v>381</v>
      </c>
      <c r="D4" s="230">
        <v>1</v>
      </c>
      <c r="E4" s="123"/>
      <c r="F4" s="230"/>
      <c r="G4" s="123" t="s">
        <v>1391</v>
      </c>
      <c r="H4" s="230">
        <v>2</v>
      </c>
      <c r="I4" s="176" t="s">
        <v>1685</v>
      </c>
      <c r="J4" s="225">
        <f ca="1">djs(I4,1)*H4</f>
        <v>17</v>
      </c>
      <c r="K4" s="228">
        <f t="shared" ref="K4" ca="1" si="2">((djs(I4,0)+djs(I4,1))*D4)*H4</f>
        <v>19</v>
      </c>
      <c r="L4" s="229">
        <f t="shared" ref="L4" ca="1" si="3">((djs(I4,0)+djs(I4,1))*F4)*H4</f>
        <v>0</v>
      </c>
      <c r="M4" s="232"/>
    </row>
    <row r="5" spans="1:24" s="167" customFormat="1" ht="22.5" customHeight="1">
      <c r="A5" s="99"/>
      <c r="B5" s="118"/>
      <c r="C5" s="123" t="s">
        <v>1686</v>
      </c>
      <c r="D5" s="230">
        <v>1</v>
      </c>
      <c r="E5" s="123"/>
      <c r="F5" s="230"/>
      <c r="G5" s="123"/>
      <c r="H5" s="230">
        <v>1</v>
      </c>
      <c r="I5" s="176" t="s">
        <v>1687</v>
      </c>
      <c r="J5" s="225">
        <f t="shared" ref="J5" ca="1" si="4">djs(I5,1)*H5</f>
        <v>24</v>
      </c>
      <c r="K5" s="228">
        <f t="shared" ca="1" si="0"/>
        <v>24</v>
      </c>
      <c r="L5" s="229">
        <f t="shared" ca="1" si="1"/>
        <v>0</v>
      </c>
      <c r="M5" s="232"/>
    </row>
    <row r="6" spans="1:24" s="167" customFormat="1" ht="22.5" customHeight="1">
      <c r="A6" s="99"/>
      <c r="B6" s="118"/>
      <c r="C6" s="123"/>
      <c r="D6" s="230"/>
      <c r="E6" s="123"/>
      <c r="F6" s="230"/>
      <c r="G6" s="123"/>
      <c r="H6" s="230"/>
      <c r="I6" s="176"/>
      <c r="J6" s="225"/>
      <c r="K6" s="228"/>
      <c r="L6" s="229"/>
      <c r="M6" s="232"/>
    </row>
    <row r="7" spans="1:24" s="167" customFormat="1" ht="22.5" customHeight="1">
      <c r="A7" s="99"/>
      <c r="B7" s="118"/>
      <c r="C7" s="123"/>
      <c r="D7" s="230"/>
      <c r="E7" s="123"/>
      <c r="F7" s="230"/>
      <c r="G7" s="123"/>
      <c r="H7" s="230"/>
      <c r="I7" s="176"/>
      <c r="J7" s="225">
        <f ca="1">djs(I7,1)*H7</f>
        <v>0</v>
      </c>
      <c r="K7" s="228">
        <f t="shared" ca="1" si="0"/>
        <v>0</v>
      </c>
      <c r="L7" s="229">
        <f t="shared" ca="1" si="1"/>
        <v>0</v>
      </c>
      <c r="M7" s="232"/>
    </row>
    <row r="8" spans="1:24" s="167" customFormat="1" ht="22.5" customHeight="1">
      <c r="A8" s="99"/>
      <c r="B8" s="118"/>
      <c r="C8" s="123"/>
      <c r="D8" s="230"/>
      <c r="E8" s="123"/>
      <c r="F8" s="230"/>
      <c r="G8" s="123"/>
      <c r="H8" s="230"/>
      <c r="I8" s="176"/>
      <c r="J8" s="225"/>
      <c r="K8" s="228"/>
      <c r="L8" s="229"/>
      <c r="M8" s="232"/>
    </row>
    <row r="9" spans="1:24" s="167" customFormat="1" ht="22.5" customHeight="1">
      <c r="A9" s="99"/>
      <c r="B9" s="118"/>
      <c r="C9" s="123"/>
      <c r="D9" s="230"/>
      <c r="E9" s="123"/>
      <c r="F9" s="230"/>
      <c r="G9" s="123"/>
      <c r="H9" s="230"/>
      <c r="I9" s="176"/>
      <c r="J9" s="225">
        <f ca="1">djs(I9,1)*H9</f>
        <v>0</v>
      </c>
      <c r="K9" s="228">
        <f t="shared" ref="K9" ca="1" si="5">((djs(I9,0)+djs(I9,1))*D9)*H9</f>
        <v>0</v>
      </c>
      <c r="L9" s="229">
        <f t="shared" ref="L9" ca="1" si="6">((djs(I9,0)+djs(I9,1))*F9)*H9</f>
        <v>0</v>
      </c>
      <c r="M9" s="232"/>
    </row>
    <row r="10" spans="1:24" s="167" customFormat="1" ht="22.5" customHeight="1">
      <c r="A10" s="118"/>
      <c r="B10" s="118"/>
      <c r="C10" s="123"/>
      <c r="D10" s="230"/>
      <c r="E10" s="123"/>
      <c r="F10" s="230"/>
      <c r="G10" s="123"/>
      <c r="H10" s="230"/>
      <c r="I10" s="176"/>
      <c r="J10" s="225"/>
      <c r="K10" s="228"/>
      <c r="L10" s="229"/>
      <c r="M10" s="232"/>
    </row>
    <row r="11" spans="1:24" s="167" customFormat="1" ht="22.5" customHeight="1">
      <c r="A11" s="118"/>
      <c r="B11" s="118"/>
      <c r="C11" s="123"/>
      <c r="D11" s="230"/>
      <c r="E11" s="123"/>
      <c r="F11" s="230"/>
      <c r="G11" s="123"/>
      <c r="H11" s="230"/>
      <c r="I11" s="176"/>
      <c r="J11" s="225"/>
      <c r="K11" s="228"/>
      <c r="L11" s="229"/>
      <c r="M11" s="232"/>
    </row>
    <row r="12" spans="1:24" s="167" customFormat="1" ht="22.5" customHeight="1">
      <c r="A12" s="118"/>
      <c r="B12" s="118"/>
      <c r="C12" s="123"/>
      <c r="D12" s="230"/>
      <c r="E12" s="123"/>
      <c r="F12" s="230"/>
      <c r="G12" s="123"/>
      <c r="H12" s="230"/>
      <c r="I12" s="176"/>
      <c r="J12" s="225">
        <f ca="1">djs(I12,1)*H12</f>
        <v>0</v>
      </c>
      <c r="K12" s="228">
        <f t="shared" ref="K12" ca="1" si="7">((djs(I12,0)+djs(I12,1))*D12)*H12</f>
        <v>0</v>
      </c>
      <c r="L12" s="229">
        <f t="shared" ref="L12" ca="1" si="8">((djs(I12,0)+djs(I12,1))*F12)*H12</f>
        <v>0</v>
      </c>
      <c r="M12" s="232"/>
    </row>
    <row r="13" spans="1:24" s="167" customFormat="1" ht="22.5" customHeight="1">
      <c r="A13" s="99"/>
      <c r="B13" s="118"/>
      <c r="C13" s="123"/>
      <c r="D13" s="230"/>
      <c r="E13" s="123"/>
      <c r="F13" s="230"/>
      <c r="G13" s="123"/>
      <c r="H13" s="230"/>
      <c r="I13" s="176"/>
      <c r="J13" s="225"/>
      <c r="K13" s="228"/>
      <c r="L13" s="229"/>
      <c r="M13" s="232"/>
    </row>
    <row r="14" spans="1:24" s="167" customFormat="1" ht="22.5" customHeight="1">
      <c r="A14" s="118"/>
      <c r="B14" s="118"/>
      <c r="C14" s="123"/>
      <c r="D14" s="230"/>
      <c r="E14" s="123"/>
      <c r="F14" s="230"/>
      <c r="G14" s="123"/>
      <c r="H14" s="230"/>
      <c r="I14" s="176"/>
      <c r="J14" s="225">
        <f ca="1">djs(I14,1)*H14</f>
        <v>0</v>
      </c>
      <c r="K14" s="228">
        <f t="shared" ref="K14" ca="1" si="9">((djs(I14,0)+djs(I14,1))*D14)*H14</f>
        <v>0</v>
      </c>
      <c r="L14" s="229">
        <f t="shared" ref="L14" ca="1" si="10">((djs(I14,0)+djs(I14,1))*F14)*H14</f>
        <v>0</v>
      </c>
      <c r="M14" s="232"/>
    </row>
    <row r="15" spans="1:24" s="167" customFormat="1" ht="22.5" customHeight="1">
      <c r="A15" s="118"/>
      <c r="B15" s="118"/>
      <c r="C15" s="123"/>
      <c r="D15" s="230"/>
      <c r="E15" s="123"/>
      <c r="F15" s="230"/>
      <c r="G15" s="123"/>
      <c r="H15" s="230"/>
      <c r="I15" s="176"/>
      <c r="J15" s="225"/>
      <c r="K15" s="228"/>
      <c r="L15" s="229"/>
      <c r="M15" s="232"/>
    </row>
    <row r="16" spans="1:24" s="167" customFormat="1" ht="22.5" customHeight="1">
      <c r="A16" s="118"/>
      <c r="B16" s="118"/>
      <c r="C16" s="123"/>
      <c r="D16" s="230"/>
      <c r="E16" s="123"/>
      <c r="F16" s="230"/>
      <c r="G16" s="123"/>
      <c r="H16" s="230"/>
      <c r="I16" s="176"/>
      <c r="J16" s="225"/>
      <c r="K16" s="228"/>
      <c r="L16" s="229"/>
      <c r="M16" s="232"/>
    </row>
    <row r="17" spans="1:13" s="167" customFormat="1" ht="22.5" customHeight="1">
      <c r="A17" s="118"/>
      <c r="B17" s="118"/>
      <c r="C17" s="123"/>
      <c r="D17" s="230"/>
      <c r="E17" s="123"/>
      <c r="F17" s="230"/>
      <c r="G17" s="123"/>
      <c r="H17" s="230"/>
      <c r="I17" s="176"/>
      <c r="J17" s="225"/>
      <c r="K17" s="228"/>
      <c r="L17" s="229"/>
      <c r="M17" s="232"/>
    </row>
    <row r="18" spans="1:13" s="167" customFormat="1" ht="22.5" customHeight="1">
      <c r="A18" s="99"/>
      <c r="B18" s="118"/>
      <c r="C18" s="123"/>
      <c r="D18" s="230"/>
      <c r="E18" s="123"/>
      <c r="F18" s="230"/>
      <c r="G18" s="123"/>
      <c r="H18" s="230"/>
      <c r="I18" s="176"/>
      <c r="J18" s="225">
        <f ca="1">djs(I18,1)*H18</f>
        <v>0</v>
      </c>
      <c r="K18" s="228">
        <f t="shared" ref="K18:K20" ca="1" si="11">((djs(I18,0)+djs(I18,1))*D18)*H18</f>
        <v>0</v>
      </c>
      <c r="L18" s="229">
        <f t="shared" ref="L18:L20" ca="1" si="12">((djs(I18,0)+djs(I18,1))*F18)*H18</f>
        <v>0</v>
      </c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>
        <f t="shared" ref="J19" ca="1" si="13">djs(I19,1)*H19</f>
        <v>0</v>
      </c>
      <c r="K19" s="228">
        <f t="shared" ca="1" si="11"/>
        <v>0</v>
      </c>
      <c r="L19" s="229">
        <f t="shared" ca="1" si="12"/>
        <v>0</v>
      </c>
      <c r="M19" s="232"/>
    </row>
    <row r="20" spans="1:13" s="167" customFormat="1" ht="22.5" customHeight="1">
      <c r="A20" s="99"/>
      <c r="B20" s="118"/>
      <c r="C20" s="123"/>
      <c r="D20" s="230"/>
      <c r="E20" s="123"/>
      <c r="F20" s="230"/>
      <c r="G20" s="123"/>
      <c r="H20" s="230"/>
      <c r="I20" s="176"/>
      <c r="J20" s="225">
        <f ca="1">djs(I20,1)*H20</f>
        <v>0</v>
      </c>
      <c r="K20" s="228">
        <f t="shared" ca="1" si="11"/>
        <v>0</v>
      </c>
      <c r="L20" s="229">
        <f t="shared" ca="1" si="12"/>
        <v>0</v>
      </c>
      <c r="M20" s="232"/>
    </row>
    <row r="21" spans="1:13" s="167" customFormat="1" ht="22.5" customHeight="1">
      <c r="A21" s="118"/>
      <c r="B21" s="118"/>
      <c r="C21" s="123"/>
      <c r="D21" s="230"/>
      <c r="E21" s="123"/>
      <c r="F21" s="230"/>
      <c r="G21" s="123"/>
      <c r="H21" s="230"/>
      <c r="I21" s="176"/>
      <c r="J21" s="225"/>
      <c r="K21" s="228"/>
      <c r="L21" s="229"/>
      <c r="M21" s="232"/>
    </row>
    <row r="22" spans="1:13" s="167" customFormat="1" ht="22.5" customHeight="1">
      <c r="A22" s="118"/>
      <c r="B22" s="118"/>
      <c r="C22" s="123"/>
      <c r="D22" s="230"/>
      <c r="E22" s="123"/>
      <c r="F22" s="230"/>
      <c r="G22" s="123"/>
      <c r="H22" s="230"/>
      <c r="I22" s="176"/>
      <c r="J22" s="225"/>
      <c r="K22" s="228"/>
      <c r="L22" s="229"/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/>
      <c r="K23" s="228"/>
      <c r="L23" s="229"/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/>
      <c r="K24" s="228"/>
      <c r="L24" s="229"/>
      <c r="M24" s="232"/>
    </row>
    <row r="25" spans="1:13" s="167" customFormat="1" ht="22.5" customHeight="1">
      <c r="A25" s="118"/>
      <c r="B25" s="118"/>
      <c r="C25" s="123"/>
      <c r="D25" s="230"/>
      <c r="E25" s="123"/>
      <c r="F25" s="230"/>
      <c r="G25" s="123"/>
      <c r="H25" s="230"/>
      <c r="I25" s="176"/>
      <c r="J25" s="225"/>
      <c r="K25" s="228"/>
      <c r="L25" s="229"/>
      <c r="M25" s="232"/>
    </row>
    <row r="26" spans="1:13" s="167" customFormat="1" ht="22.5" customHeight="1">
      <c r="A26" s="99"/>
      <c r="B26" s="118"/>
      <c r="C26" s="123"/>
      <c r="D26" s="230"/>
      <c r="E26" s="123"/>
      <c r="F26" s="230"/>
      <c r="G26" s="123"/>
      <c r="H26" s="230"/>
      <c r="I26" s="176"/>
      <c r="J26" s="225"/>
      <c r="K26" s="228"/>
      <c r="L26" s="229"/>
      <c r="M26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7">
    <tabColor rgb="FFFF0000"/>
  </sheetPr>
  <dimension ref="A1:V49"/>
  <sheetViews>
    <sheetView showZeros="0" view="pageBreakPreview" zoomScaleSheetLayoutView="100" workbookViewId="0">
      <pane xSplit="3" ySplit="3" topLeftCell="D4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21" customHeight="1"/>
  <cols>
    <col min="1" max="2" width="15.77734375" style="162" customWidth="1"/>
    <col min="3" max="3" width="4.6640625" style="120" customWidth="1"/>
    <col min="4" max="4" width="5.33203125" style="120" customWidth="1"/>
    <col min="5" max="5" width="5.5546875" style="120" customWidth="1"/>
    <col min="6" max="7" width="5.33203125" style="120" customWidth="1"/>
    <col min="8" max="8" width="6.33203125" style="92" customWidth="1"/>
    <col min="9" max="9" width="4" style="93" customWidth="1"/>
    <col min="10" max="10" width="6.33203125" style="94" customWidth="1"/>
    <col min="11" max="11" width="5.33203125" style="95" customWidth="1"/>
    <col min="12" max="12" width="5.33203125" style="121" customWidth="1"/>
    <col min="13" max="13" width="5.33203125" style="96" customWidth="1"/>
    <col min="14" max="14" width="5.33203125" style="121" customWidth="1"/>
    <col min="15" max="15" width="5.33203125" style="95" customWidth="1"/>
    <col min="16" max="18" width="5.33203125" style="121" customWidth="1"/>
    <col min="19" max="19" width="5.33203125" style="96" customWidth="1"/>
    <col min="20" max="20" width="5.33203125" style="121" customWidth="1"/>
    <col min="21" max="21" width="6.77734375" style="162" customWidth="1"/>
    <col min="22" max="22" width="4.77734375" style="162" customWidth="1"/>
    <col min="23" max="16384" width="8.88671875" style="162"/>
  </cols>
  <sheetData>
    <row r="1" spans="1:21" ht="21.95" customHeight="1">
      <c r="A1" s="676" t="str">
        <f>'10.가설(산)'!A1</f>
        <v xml:space="preserve">10. 가설전기설비공사 </v>
      </c>
      <c r="B1" s="676"/>
      <c r="C1" s="75"/>
      <c r="D1" s="76"/>
      <c r="E1" s="76"/>
      <c r="F1" s="76"/>
      <c r="G1" s="76"/>
      <c r="H1" s="116"/>
      <c r="I1" s="77"/>
      <c r="J1" s="78"/>
      <c r="K1" s="79"/>
      <c r="L1" s="79"/>
      <c r="M1" s="80"/>
      <c r="N1" s="79"/>
      <c r="O1" s="79"/>
      <c r="P1" s="79"/>
      <c r="Q1" s="79"/>
      <c r="R1" s="79"/>
      <c r="S1" s="80"/>
      <c r="T1" s="79"/>
      <c r="U1" s="117"/>
    </row>
    <row r="2" spans="1:21" ht="21.95" customHeight="1">
      <c r="A2" s="616" t="s">
        <v>315</v>
      </c>
      <c r="B2" s="616" t="s">
        <v>316</v>
      </c>
      <c r="C2" s="616" t="s">
        <v>317</v>
      </c>
      <c r="D2" s="651" t="s">
        <v>99</v>
      </c>
      <c r="E2" s="651"/>
      <c r="F2" s="651"/>
      <c r="G2" s="651"/>
      <c r="H2" s="674" t="s">
        <v>318</v>
      </c>
      <c r="I2" s="672" t="s">
        <v>307</v>
      </c>
      <c r="J2" s="672" t="s">
        <v>308</v>
      </c>
      <c r="K2" s="673" t="s">
        <v>100</v>
      </c>
      <c r="L2" s="673"/>
      <c r="M2" s="673" t="s">
        <v>101</v>
      </c>
      <c r="N2" s="673"/>
      <c r="O2" s="616" t="s">
        <v>146</v>
      </c>
      <c r="P2" s="616"/>
      <c r="Q2" s="616" t="s">
        <v>1446</v>
      </c>
      <c r="R2" s="616"/>
      <c r="S2" s="616" t="s">
        <v>90</v>
      </c>
      <c r="T2" s="616"/>
      <c r="U2" s="616" t="s">
        <v>309</v>
      </c>
    </row>
    <row r="3" spans="1:21" ht="21.95" customHeight="1">
      <c r="A3" s="616"/>
      <c r="B3" s="616"/>
      <c r="C3" s="616"/>
      <c r="D3" s="101"/>
      <c r="E3" s="101"/>
      <c r="F3" s="101"/>
      <c r="G3" s="101"/>
      <c r="H3" s="675"/>
      <c r="I3" s="616"/>
      <c r="J3" s="616"/>
      <c r="K3" s="81" t="s">
        <v>310</v>
      </c>
      <c r="L3" s="82" t="s">
        <v>311</v>
      </c>
      <c r="M3" s="83" t="s">
        <v>310</v>
      </c>
      <c r="N3" s="82" t="s">
        <v>311</v>
      </c>
      <c r="O3" s="81" t="s">
        <v>310</v>
      </c>
      <c r="P3" s="82" t="s">
        <v>311</v>
      </c>
      <c r="Q3" s="81" t="s">
        <v>310</v>
      </c>
      <c r="R3" s="82" t="s">
        <v>311</v>
      </c>
      <c r="S3" s="83" t="s">
        <v>310</v>
      </c>
      <c r="T3" s="21" t="s">
        <v>311</v>
      </c>
      <c r="U3" s="616"/>
    </row>
    <row r="4" spans="1:21" ht="21.95" customHeight="1">
      <c r="A4" s="110" t="s">
        <v>158</v>
      </c>
      <c r="B4" s="123" t="s">
        <v>1400</v>
      </c>
      <c r="C4" s="497" t="s">
        <v>407</v>
      </c>
      <c r="D4" s="84">
        <f ca="1">SUM(SUMIF('10.가설(산)'!$C$3:$C$34,B4,'10.가설(산)'!$K$3:$K$34),SUMIF('10.가설(산)'!$E$3:$E$34,B4,'10.가설(산)'!$L$3:$L$34),SUMIF('10.가설(산)'!$G$3:$G$34,B4,'10.가설(산)'!$J$3:$J$34))</f>
        <v>160.5</v>
      </c>
      <c r="E4" s="84"/>
      <c r="F4" s="84"/>
      <c r="G4" s="84"/>
      <c r="H4" s="112">
        <f t="shared" ref="H4:H20" ca="1" si="0">SUM(D4:G4)</f>
        <v>160.5</v>
      </c>
      <c r="I4" s="85">
        <v>0.1</v>
      </c>
      <c r="J4" s="22">
        <f t="shared" ref="J4:J15" ca="1" si="1">ROUND(H4+(H4*I4),0)</f>
        <v>177</v>
      </c>
      <c r="K4" s="86">
        <f>0.08*0.9</f>
        <v>7.2000000000000008E-2</v>
      </c>
      <c r="L4" s="22">
        <f t="shared" ref="L4:L10" ca="1" si="2">ROUNDDOWN($H4*K4,4)</f>
        <v>11.555999999999999</v>
      </c>
      <c r="M4" s="86"/>
      <c r="N4" s="22"/>
      <c r="O4" s="86"/>
      <c r="P4" s="22"/>
      <c r="Q4" s="22"/>
      <c r="R4" s="22"/>
      <c r="S4" s="86"/>
      <c r="T4" s="22"/>
      <c r="U4" s="87" t="s">
        <v>102</v>
      </c>
    </row>
    <row r="5" spans="1:21" ht="21.95" customHeight="1">
      <c r="A5" s="110" t="s">
        <v>158</v>
      </c>
      <c r="B5" s="123" t="s">
        <v>1409</v>
      </c>
      <c r="C5" s="497" t="s">
        <v>407</v>
      </c>
      <c r="D5" s="84">
        <f ca="1">SUM(SUMIF('10.가설(산)'!$C$3:$C$34,B5,'10.가설(산)'!$K$3:$K$34),SUMIF('10.가설(산)'!$E$3:$E$34,B5,'10.가설(산)'!$L$3:$L$34),SUMIF('10.가설(산)'!$G$3:$G$34,B5,'10.가설(산)'!$J$3:$J$34))</f>
        <v>22.9</v>
      </c>
      <c r="E5" s="84"/>
      <c r="F5" s="84"/>
      <c r="G5" s="84"/>
      <c r="H5" s="112">
        <f t="shared" ca="1" si="0"/>
        <v>22.9</v>
      </c>
      <c r="I5" s="85">
        <v>0.1</v>
      </c>
      <c r="J5" s="22">
        <f t="shared" ca="1" si="1"/>
        <v>25</v>
      </c>
      <c r="K5" s="86">
        <f>0.1*0.9</f>
        <v>9.0000000000000011E-2</v>
      </c>
      <c r="L5" s="22">
        <f t="shared" ca="1" si="2"/>
        <v>2.0609999999999999</v>
      </c>
      <c r="M5" s="86"/>
      <c r="N5" s="22"/>
      <c r="O5" s="86"/>
      <c r="P5" s="22"/>
      <c r="Q5" s="22"/>
      <c r="R5" s="22"/>
      <c r="S5" s="86"/>
      <c r="T5" s="22"/>
      <c r="U5" s="87" t="s">
        <v>102</v>
      </c>
    </row>
    <row r="6" spans="1:21" ht="21.95" customHeight="1">
      <c r="A6" s="110" t="s">
        <v>382</v>
      </c>
      <c r="B6" s="123" t="s">
        <v>1418</v>
      </c>
      <c r="C6" s="497" t="s">
        <v>407</v>
      </c>
      <c r="D6" s="84">
        <f ca="1">SUM(SUMIF('10.가설(산)'!$C$3:$C$34,B6,'10.가설(산)'!$K$3:$K$34),SUMIF('10.가설(산)'!$E$3:$E$34,B6,'10.가설(산)'!$L$3:$L$34),SUMIF('10.가설(산)'!$G$3:$G$34,B6,'10.가설(산)'!$J$3:$J$34))</f>
        <v>26.5</v>
      </c>
      <c r="E6" s="84"/>
      <c r="F6" s="84"/>
      <c r="G6" s="84"/>
      <c r="H6" s="112">
        <f t="shared" ca="1" si="0"/>
        <v>26.5</v>
      </c>
      <c r="I6" s="85">
        <v>0.03</v>
      </c>
      <c r="J6" s="22">
        <f t="shared" ref="J6:J7" ca="1" si="3">ROUND(H6+(H6*I6),0)</f>
        <v>27</v>
      </c>
      <c r="K6" s="86"/>
      <c r="L6" s="22"/>
      <c r="M6" s="86"/>
      <c r="N6" s="22"/>
      <c r="O6" s="86">
        <v>7.0000000000000001E-3</v>
      </c>
      <c r="P6" s="22">
        <f t="shared" ref="P6" ca="1" si="4">ROUNDDOWN($H6*O6,4)</f>
        <v>0.1855</v>
      </c>
      <c r="Q6" s="22"/>
      <c r="R6" s="22"/>
      <c r="S6" s="86">
        <v>1.7999999999999999E-2</v>
      </c>
      <c r="T6" s="22">
        <f t="shared" ref="T6" ca="1" si="5">ROUNDDOWN($H6*S6,4)</f>
        <v>0.47699999999999998</v>
      </c>
      <c r="U6" s="87" t="s">
        <v>1448</v>
      </c>
    </row>
    <row r="7" spans="1:21" ht="21.95" customHeight="1">
      <c r="A7" s="110" t="s">
        <v>1224</v>
      </c>
      <c r="B7" s="123" t="s">
        <v>1403</v>
      </c>
      <c r="C7" s="497" t="s">
        <v>407</v>
      </c>
      <c r="D7" s="84">
        <f ca="1">SUM(SUMIF('10.가설(산)'!$C$3:$C$34,B7,'10.가설(산)'!$K$3:$K$34),SUMIF('10.가설(산)'!$E$3:$E$34,B7,'10.가설(산)'!$L$3:$L$34),SUMIF('10.가설(산)'!$G$3:$G$34,B7,'10.가설(산)'!$J$3:$J$34))</f>
        <v>6</v>
      </c>
      <c r="E7" s="84"/>
      <c r="F7" s="84"/>
      <c r="G7" s="84"/>
      <c r="H7" s="112">
        <f t="shared" ca="1" si="0"/>
        <v>6</v>
      </c>
      <c r="I7" s="85">
        <v>0.1</v>
      </c>
      <c r="J7" s="22">
        <f t="shared" ca="1" si="3"/>
        <v>7</v>
      </c>
      <c r="K7" s="86">
        <f>0.072*0.9</f>
        <v>6.4799999999999996E-2</v>
      </c>
      <c r="L7" s="22">
        <f t="shared" ca="1" si="2"/>
        <v>0.38879999999999998</v>
      </c>
      <c r="M7" s="86"/>
      <c r="N7" s="22"/>
      <c r="O7" s="86"/>
      <c r="P7" s="22"/>
      <c r="Q7" s="22"/>
      <c r="R7" s="22"/>
      <c r="S7" s="86"/>
      <c r="T7" s="22"/>
      <c r="U7" s="87" t="s">
        <v>102</v>
      </c>
    </row>
    <row r="8" spans="1:21" ht="21.95" customHeight="1">
      <c r="A8" s="110" t="s">
        <v>1221</v>
      </c>
      <c r="B8" s="123" t="s">
        <v>1402</v>
      </c>
      <c r="C8" s="497" t="s">
        <v>407</v>
      </c>
      <c r="D8" s="84">
        <f ca="1">SUM(SUMIF('10.가설(산)'!$C$3:$C$34,B8,'10.가설(산)'!$K$3:$K$34),SUMIF('10.가설(산)'!$E$3:$E$34,B8,'10.가설(산)'!$L$3:$L$34),SUMIF('10.가설(산)'!$G$3:$G$34,B8,'10.가설(산)'!$J$3:$J$34))</f>
        <v>93</v>
      </c>
      <c r="E8" s="84"/>
      <c r="F8" s="84"/>
      <c r="G8" s="84"/>
      <c r="H8" s="112">
        <f t="shared" ca="1" si="0"/>
        <v>93</v>
      </c>
      <c r="I8" s="85">
        <v>0.1</v>
      </c>
      <c r="J8" s="22">
        <f t="shared" ca="1" si="1"/>
        <v>102</v>
      </c>
      <c r="K8" s="86">
        <f>0.006*1.5</f>
        <v>9.0000000000000011E-3</v>
      </c>
      <c r="L8" s="22">
        <f t="shared" ca="1" si="2"/>
        <v>0.83699999999999997</v>
      </c>
      <c r="M8" s="86"/>
      <c r="N8" s="22"/>
      <c r="O8" s="86"/>
      <c r="P8" s="22"/>
      <c r="Q8" s="22"/>
      <c r="R8" s="22"/>
      <c r="S8" s="86"/>
      <c r="T8" s="22"/>
      <c r="U8" s="87" t="s">
        <v>96</v>
      </c>
    </row>
    <row r="9" spans="1:21" ht="21.95" customHeight="1">
      <c r="A9" s="110" t="s">
        <v>1221</v>
      </c>
      <c r="B9" s="123" t="s">
        <v>1429</v>
      </c>
      <c r="C9" s="497" t="s">
        <v>407</v>
      </c>
      <c r="D9" s="84">
        <f ca="1">SUM(SUMIF('10.가설(산)'!$C$3:$C$34,B9,'10.가설(산)'!$K$3:$K$34),SUMIF('10.가설(산)'!$E$3:$E$34,B9,'10.가설(산)'!$L$3:$L$34),SUMIF('10.가설(산)'!$G$3:$G$34,B9,'10.가설(산)'!$J$3:$J$34))</f>
        <v>82.5</v>
      </c>
      <c r="E9" s="84"/>
      <c r="F9" s="84"/>
      <c r="G9" s="84"/>
      <c r="H9" s="112">
        <f t="shared" ca="1" si="0"/>
        <v>82.5</v>
      </c>
      <c r="I9" s="85">
        <v>0.1</v>
      </c>
      <c r="J9" s="22">
        <f t="shared" ca="1" si="1"/>
        <v>91</v>
      </c>
      <c r="K9" s="86">
        <f>0.006*1.5</f>
        <v>9.0000000000000011E-3</v>
      </c>
      <c r="L9" s="22">
        <f t="shared" ca="1" si="2"/>
        <v>0.74250000000000005</v>
      </c>
      <c r="M9" s="86"/>
      <c r="N9" s="22"/>
      <c r="O9" s="86"/>
      <c r="P9" s="22"/>
      <c r="Q9" s="22"/>
      <c r="R9" s="22"/>
      <c r="S9" s="86"/>
      <c r="T9" s="22"/>
      <c r="U9" s="87" t="s">
        <v>961</v>
      </c>
    </row>
    <row r="10" spans="1:21" ht="21.95" customHeight="1">
      <c r="A10" s="110" t="s">
        <v>1221</v>
      </c>
      <c r="B10" s="123" t="s">
        <v>381</v>
      </c>
      <c r="C10" s="497" t="s">
        <v>407</v>
      </c>
      <c r="D10" s="84">
        <f ca="1">SUM(SUMIF('10.가설(산)'!$C$3:$C$34,B10,'10.가설(산)'!$K$3:$K$34),SUMIF('10.가설(산)'!$E$3:$E$34,B10,'10.가설(산)'!$L$3:$L$34),SUMIF('10.가설(산)'!$G$3:$G$34,B10,'10.가설(산)'!$J$3:$J$34))</f>
        <v>105.3</v>
      </c>
      <c r="E10" s="84"/>
      <c r="F10" s="84"/>
      <c r="G10" s="84"/>
      <c r="H10" s="112">
        <f t="shared" ca="1" si="0"/>
        <v>105.3</v>
      </c>
      <c r="I10" s="85">
        <v>0.05</v>
      </c>
      <c r="J10" s="22">
        <f t="shared" ca="1" si="1"/>
        <v>111</v>
      </c>
      <c r="K10" s="86">
        <v>7.0000000000000001E-3</v>
      </c>
      <c r="L10" s="22">
        <f t="shared" ca="1" si="2"/>
        <v>0.73709999999999998</v>
      </c>
      <c r="M10" s="86"/>
      <c r="N10" s="22"/>
      <c r="O10" s="86"/>
      <c r="P10" s="22"/>
      <c r="Q10" s="22"/>
      <c r="R10" s="22"/>
      <c r="S10" s="86"/>
      <c r="T10" s="22"/>
      <c r="U10" s="87" t="s">
        <v>961</v>
      </c>
    </row>
    <row r="11" spans="1:21" ht="21.95" customHeight="1">
      <c r="A11" s="110" t="s">
        <v>391</v>
      </c>
      <c r="B11" s="123" t="s">
        <v>1428</v>
      </c>
      <c r="C11" s="497" t="s">
        <v>407</v>
      </c>
      <c r="D11" s="84">
        <f ca="1">SUM(SUMIF('10.가설(산)'!$C$3:$C$34,B11,'10.가설(산)'!$K$3:$K$34),SUMIF('10.가설(산)'!$E$3:$E$34,B11,'10.가설(산)'!$L$3:$L$34),SUMIF('10.가설(산)'!$G$3:$G$34,B11,'10.가설(산)'!$J$3:$J$34))</f>
        <v>82.5</v>
      </c>
      <c r="E11" s="84"/>
      <c r="F11" s="84"/>
      <c r="G11" s="84"/>
      <c r="H11" s="112">
        <f t="shared" ca="1" si="0"/>
        <v>82.5</v>
      </c>
      <c r="I11" s="85">
        <v>0.05</v>
      </c>
      <c r="J11" s="22">
        <f t="shared" ca="1" si="1"/>
        <v>87</v>
      </c>
      <c r="K11" s="86"/>
      <c r="L11" s="22"/>
      <c r="M11" s="86">
        <v>1.7999999999999999E-2</v>
      </c>
      <c r="N11" s="22">
        <f t="shared" ref="N11:N13" ca="1" si="6">ROUNDDOWN($H11*M11,4)</f>
        <v>1.4850000000000001</v>
      </c>
      <c r="O11" s="86"/>
      <c r="P11" s="22"/>
      <c r="Q11" s="22"/>
      <c r="R11" s="22"/>
      <c r="S11" s="86"/>
      <c r="T11" s="22"/>
      <c r="U11" s="87" t="s">
        <v>1399</v>
      </c>
    </row>
    <row r="12" spans="1:21" ht="21.95" customHeight="1">
      <c r="A12" s="110" t="s">
        <v>391</v>
      </c>
      <c r="B12" s="123" t="s">
        <v>1433</v>
      </c>
      <c r="C12" s="497" t="s">
        <v>407</v>
      </c>
      <c r="D12" s="84">
        <f ca="1">SUM(SUMIF('10.가설(산)'!$C$3:$C$34,B12,'10.가설(산)'!$K$3:$K$34),SUMIF('10.가설(산)'!$E$3:$E$34,B12,'10.가설(산)'!$L$3:$L$34),SUMIF('10.가설(산)'!$G$3:$G$34,B12,'10.가설(산)'!$J$3:$J$34))</f>
        <v>93</v>
      </c>
      <c r="E12" s="84"/>
      <c r="F12" s="84"/>
      <c r="G12" s="84"/>
      <c r="H12" s="112">
        <f t="shared" ca="1" si="0"/>
        <v>93</v>
      </c>
      <c r="I12" s="85">
        <v>0.05</v>
      </c>
      <c r="J12" s="22">
        <f t="shared" ca="1" si="1"/>
        <v>98</v>
      </c>
      <c r="K12" s="86"/>
      <c r="L12" s="22"/>
      <c r="M12" s="86">
        <v>2.9000000000000001E-2</v>
      </c>
      <c r="N12" s="22">
        <f t="shared" ca="1" si="6"/>
        <v>2.6970000000000001</v>
      </c>
      <c r="O12" s="86"/>
      <c r="P12" s="22"/>
      <c r="Q12" s="22"/>
      <c r="R12" s="22"/>
      <c r="S12" s="86"/>
      <c r="T12" s="22"/>
      <c r="U12" s="87" t="s">
        <v>1399</v>
      </c>
    </row>
    <row r="13" spans="1:21" ht="21.95" customHeight="1">
      <c r="A13" s="110" t="s">
        <v>391</v>
      </c>
      <c r="B13" s="123" t="s">
        <v>1408</v>
      </c>
      <c r="C13" s="497" t="s">
        <v>407</v>
      </c>
      <c r="D13" s="84">
        <f ca="1">SUM(SUMIF('10.가설(산)'!$C$3:$C$34,B13,'10.가설(산)'!$K$3:$K$34),SUMIF('10.가설(산)'!$E$3:$E$34,B13,'10.가설(산)'!$L$3:$L$34),SUMIF('10.가설(산)'!$G$3:$G$34,B13,'10.가설(산)'!$J$3:$J$34))</f>
        <v>105.3</v>
      </c>
      <c r="E13" s="84"/>
      <c r="F13" s="84"/>
      <c r="G13" s="84"/>
      <c r="H13" s="112">
        <f t="shared" ca="1" si="0"/>
        <v>105.3</v>
      </c>
      <c r="I13" s="85">
        <v>0.03</v>
      </c>
      <c r="J13" s="22">
        <f t="shared" ca="1" si="1"/>
        <v>108</v>
      </c>
      <c r="K13" s="86"/>
      <c r="L13" s="22"/>
      <c r="M13" s="86">
        <f>0.023*2.6</f>
        <v>5.9799999999999999E-2</v>
      </c>
      <c r="N13" s="22">
        <f t="shared" ca="1" si="6"/>
        <v>6.2968999999999999</v>
      </c>
      <c r="O13" s="86"/>
      <c r="P13" s="22"/>
      <c r="Q13" s="22"/>
      <c r="R13" s="22"/>
      <c r="S13" s="86"/>
      <c r="T13" s="22"/>
      <c r="U13" s="87" t="s">
        <v>1396</v>
      </c>
    </row>
    <row r="14" spans="1:21" ht="21.95" customHeight="1">
      <c r="A14" s="110" t="s">
        <v>1392</v>
      </c>
      <c r="B14" s="110" t="s">
        <v>1440</v>
      </c>
      <c r="C14" s="497" t="s">
        <v>89</v>
      </c>
      <c r="D14" s="84">
        <v>4</v>
      </c>
      <c r="E14" s="84"/>
      <c r="F14" s="84"/>
      <c r="G14" s="84"/>
      <c r="H14" s="112">
        <f t="shared" si="0"/>
        <v>4</v>
      </c>
      <c r="I14" s="85"/>
      <c r="J14" s="22">
        <f t="shared" si="1"/>
        <v>4</v>
      </c>
      <c r="K14" s="86">
        <f>0.04*0.9</f>
        <v>3.6000000000000004E-2</v>
      </c>
      <c r="L14" s="22">
        <f>ROUNDDOWN($H14*K14,4)</f>
        <v>0.14399999999999999</v>
      </c>
      <c r="M14" s="86"/>
      <c r="N14" s="22"/>
      <c r="O14" s="86"/>
      <c r="P14" s="22"/>
      <c r="Q14" s="22"/>
      <c r="R14" s="22"/>
      <c r="S14" s="86"/>
      <c r="T14" s="22"/>
      <c r="U14" s="87" t="s">
        <v>1201</v>
      </c>
    </row>
    <row r="15" spans="1:21" ht="21.95" customHeight="1">
      <c r="A15" s="110" t="s">
        <v>1276</v>
      </c>
      <c r="B15" s="110" t="s">
        <v>1459</v>
      </c>
      <c r="C15" s="499" t="s">
        <v>273</v>
      </c>
      <c r="D15" s="498">
        <v>1</v>
      </c>
      <c r="E15" s="498"/>
      <c r="F15" s="498"/>
      <c r="G15" s="498"/>
      <c r="H15" s="112">
        <f t="shared" si="0"/>
        <v>1</v>
      </c>
      <c r="I15" s="85"/>
      <c r="J15" s="22">
        <f t="shared" si="1"/>
        <v>1</v>
      </c>
      <c r="K15" s="86">
        <f>1.23*0.9</f>
        <v>1.107</v>
      </c>
      <c r="L15" s="22">
        <f>ROUNDDOWN($H15*K15,4)</f>
        <v>1.107</v>
      </c>
      <c r="M15" s="86"/>
      <c r="N15" s="22"/>
      <c r="O15" s="86"/>
      <c r="P15" s="22"/>
      <c r="Q15" s="22"/>
      <c r="R15" s="22"/>
      <c r="S15" s="86"/>
      <c r="T15" s="22"/>
      <c r="U15" s="87" t="s">
        <v>1201</v>
      </c>
    </row>
    <row r="16" spans="1:21" ht="21.95" customHeight="1">
      <c r="A16" s="123" t="s">
        <v>404</v>
      </c>
      <c r="B16" s="123" t="s">
        <v>405</v>
      </c>
      <c r="C16" s="497" t="s">
        <v>407</v>
      </c>
      <c r="D16" s="84">
        <f ca="1">SUM(SUMIF('10.가설(산)'!$C$3:$C$34,B16,'10.가설(산)'!$K$3:$K$34),SUMIF('10.가설(산)'!$E$3:$E$34,B16,'10.가설(산)'!$L$3:$L$34),SUMIF('10.가설(산)'!$G$3:$G$34,B16,'10.가설(산)'!$J$3:$J$34))</f>
        <v>25</v>
      </c>
      <c r="E16" s="84"/>
      <c r="F16" s="84"/>
      <c r="G16" s="84"/>
      <c r="H16" s="112">
        <f t="shared" ca="1" si="0"/>
        <v>25</v>
      </c>
      <c r="I16" s="85"/>
      <c r="J16" s="22">
        <f t="shared" ref="J16:J19" ca="1" si="7">ROUND(H16+(H16*I16),0)</f>
        <v>25</v>
      </c>
      <c r="K16" s="86"/>
      <c r="L16" s="22"/>
      <c r="M16" s="86">
        <v>5.0000000000000001E-4</v>
      </c>
      <c r="N16" s="22">
        <f ca="1">ROUNDDOWN($H16*M16,4)</f>
        <v>1.2500000000000001E-2</v>
      </c>
      <c r="O16" s="86"/>
      <c r="P16" s="22"/>
      <c r="Q16" s="22"/>
      <c r="R16" s="22"/>
      <c r="S16" s="86">
        <v>1E-3</v>
      </c>
      <c r="T16" s="22">
        <f ca="1">ROUNDDOWN($H16*S16,4)</f>
        <v>2.5000000000000001E-2</v>
      </c>
      <c r="U16" s="87" t="s">
        <v>1449</v>
      </c>
    </row>
    <row r="17" spans="1:21" ht="21.95" customHeight="1">
      <c r="A17" s="123" t="s">
        <v>1441</v>
      </c>
      <c r="B17" s="123" t="s">
        <v>1325</v>
      </c>
      <c r="C17" s="497" t="s">
        <v>1443</v>
      </c>
      <c r="D17" s="84">
        <f ca="1">SUM(SUMIF('10.가설(산)'!$C$3:$C$34,B17,'10.가설(산)'!$K$3:$K$34),SUMIF('10.가설(산)'!$E$3:$E$34,B17,'10.가설(산)'!$L$3:$L$34),SUMIF('10.가설(산)'!$G$3:$G$34,B17,'10.가설(산)'!$J$3:$J$34))</f>
        <v>7.5</v>
      </c>
      <c r="E17" s="84"/>
      <c r="F17" s="84"/>
      <c r="G17" s="498"/>
      <c r="H17" s="112">
        <f t="shared" ca="1" si="0"/>
        <v>7.5</v>
      </c>
      <c r="I17" s="85"/>
      <c r="J17" s="22">
        <f t="shared" ca="1" si="7"/>
        <v>8</v>
      </c>
      <c r="K17" s="86"/>
      <c r="L17" s="22"/>
      <c r="M17" s="86"/>
      <c r="N17" s="22"/>
      <c r="O17" s="86"/>
      <c r="P17" s="22"/>
      <c r="Q17" s="22"/>
      <c r="R17" s="22"/>
      <c r="S17" s="86"/>
      <c r="T17" s="22"/>
      <c r="U17" s="87"/>
    </row>
    <row r="18" spans="1:21" ht="21.95" customHeight="1">
      <c r="A18" s="123" t="s">
        <v>1442</v>
      </c>
      <c r="B18" s="123" t="s">
        <v>1325</v>
      </c>
      <c r="C18" s="497" t="s">
        <v>1443</v>
      </c>
      <c r="D18" s="84">
        <f ca="1">SUM(SUMIF('10.가설(산)'!$C$3:$C$34,B18,'10.가설(산)'!$K$3:$K$34),SUMIF('10.가설(산)'!$E$3:$E$34,B18,'10.가설(산)'!$L$3:$L$34),SUMIF('10.가설(산)'!$G$3:$G$34,B18,'10.가설(산)'!$J$3:$J$34))</f>
        <v>7.5</v>
      </c>
      <c r="E18" s="498"/>
      <c r="F18" s="498"/>
      <c r="G18" s="498"/>
      <c r="H18" s="112">
        <f t="shared" ca="1" si="0"/>
        <v>7.5</v>
      </c>
      <c r="I18" s="85"/>
      <c r="J18" s="22">
        <f t="shared" ca="1" si="7"/>
        <v>8</v>
      </c>
      <c r="K18" s="86"/>
      <c r="L18" s="22"/>
      <c r="M18" s="86"/>
      <c r="N18" s="22"/>
      <c r="O18" s="86"/>
      <c r="P18" s="22"/>
      <c r="Q18" s="22"/>
      <c r="R18" s="22"/>
      <c r="S18" s="86"/>
      <c r="T18" s="22"/>
      <c r="U18" s="87"/>
    </row>
    <row r="19" spans="1:21" ht="21.95" customHeight="1">
      <c r="A19" s="123" t="s">
        <v>1326</v>
      </c>
      <c r="B19" s="123">
        <v>0</v>
      </c>
      <c r="C19" s="497" t="s">
        <v>1314</v>
      </c>
      <c r="D19" s="84">
        <f>(5+17)*0.6</f>
        <v>13.2</v>
      </c>
      <c r="E19" s="84"/>
      <c r="F19" s="84"/>
      <c r="G19" s="498"/>
      <c r="H19" s="112">
        <f t="shared" si="0"/>
        <v>13.2</v>
      </c>
      <c r="I19" s="85"/>
      <c r="J19" s="22">
        <f t="shared" si="7"/>
        <v>13</v>
      </c>
      <c r="K19" s="86"/>
      <c r="L19" s="22"/>
      <c r="M19" s="86"/>
      <c r="N19" s="22"/>
      <c r="O19" s="86"/>
      <c r="P19" s="22"/>
      <c r="Q19" s="22"/>
      <c r="R19" s="22"/>
      <c r="S19" s="86"/>
      <c r="T19" s="22"/>
      <c r="U19" s="87"/>
    </row>
    <row r="20" spans="1:21" ht="21.95" customHeight="1">
      <c r="A20" s="123" t="s">
        <v>1444</v>
      </c>
      <c r="B20" s="231" t="s">
        <v>1445</v>
      </c>
      <c r="C20" s="497" t="s">
        <v>967</v>
      </c>
      <c r="D20" s="84">
        <v>4</v>
      </c>
      <c r="E20" s="84"/>
      <c r="F20" s="84"/>
      <c r="G20" s="498"/>
      <c r="H20" s="112">
        <f t="shared" si="0"/>
        <v>4</v>
      </c>
      <c r="I20" s="85"/>
      <c r="J20" s="22">
        <f t="shared" ref="J20" si="8">ROUND(H20+(H20*I20),0)</f>
        <v>4</v>
      </c>
      <c r="K20" s="86"/>
      <c r="L20" s="22"/>
      <c r="M20" s="86"/>
      <c r="N20" s="22"/>
      <c r="O20" s="86"/>
      <c r="P20" s="22"/>
      <c r="Q20" s="22">
        <v>0.13</v>
      </c>
      <c r="R20" s="22">
        <f t="shared" ref="R20" si="9">ROUNDDOWN($H20*Q20,4)</f>
        <v>0.52</v>
      </c>
      <c r="S20" s="86"/>
      <c r="T20" s="22"/>
      <c r="U20" s="87" t="s">
        <v>1447</v>
      </c>
    </row>
    <row r="21" spans="1:21" ht="21.95" customHeight="1">
      <c r="A21" s="123" t="s">
        <v>1457</v>
      </c>
      <c r="B21" s="123" t="s">
        <v>1386</v>
      </c>
      <c r="C21" s="497" t="s">
        <v>407</v>
      </c>
      <c r="D21" s="84">
        <f ca="1">SUM(SUMIF('10.가설(산)'!$C$3:$C$34,B21,'10.가설(산)'!$K$3:$K$34),SUMIF('10.가설(산)'!$E$3:$E$34,B21,'10.가설(산)'!$L$3:$L$34),SUMIF('10.가설(산)'!$G$3:$G$34,B21,'10.가설(산)'!$J$3:$J$34))</f>
        <v>93</v>
      </c>
      <c r="E21" s="84"/>
      <c r="F21" s="84"/>
      <c r="G21" s="498"/>
      <c r="H21" s="112">
        <f t="shared" ref="H21:H26" ca="1" si="10">SUM(D21:G21)</f>
        <v>93</v>
      </c>
      <c r="I21" s="85"/>
      <c r="J21" s="22">
        <f t="shared" ref="J21:J30" ca="1" si="11">ROUND(H21+(H21*I21),0)</f>
        <v>93</v>
      </c>
      <c r="K21" s="86">
        <f>0.006*0.5</f>
        <v>3.0000000000000001E-3</v>
      </c>
      <c r="L21" s="22">
        <f t="shared" ref="L21:L23" ca="1" si="12">ROUNDDOWN($H21*K21,4)</f>
        <v>0.27900000000000003</v>
      </c>
      <c r="M21" s="86"/>
      <c r="N21" s="22"/>
      <c r="O21" s="86"/>
      <c r="P21" s="22"/>
      <c r="Q21" s="22"/>
      <c r="R21" s="22"/>
      <c r="S21" s="86"/>
      <c r="T21" s="22"/>
      <c r="U21" s="87" t="s">
        <v>961</v>
      </c>
    </row>
    <row r="22" spans="1:21" ht="21.95" customHeight="1">
      <c r="A22" s="123" t="s">
        <v>1457</v>
      </c>
      <c r="B22" s="123" t="s">
        <v>582</v>
      </c>
      <c r="C22" s="497" t="s">
        <v>407</v>
      </c>
      <c r="D22" s="84">
        <f ca="1">SUM(SUMIF('10.가설(산)'!$C$3:$C$34,B22,'10.가설(산)'!$K$3:$K$34),SUMIF('10.가설(산)'!$E$3:$E$34,B22,'10.가설(산)'!$L$3:$L$34),SUMIF('10.가설(산)'!$G$3:$G$34,B22,'10.가설(산)'!$J$3:$J$34))</f>
        <v>82.5</v>
      </c>
      <c r="E22" s="84"/>
      <c r="F22" s="84"/>
      <c r="G22" s="498"/>
      <c r="H22" s="112">
        <f t="shared" ca="1" si="10"/>
        <v>82.5</v>
      </c>
      <c r="I22" s="85"/>
      <c r="J22" s="22">
        <f t="shared" ca="1" si="11"/>
        <v>83</v>
      </c>
      <c r="K22" s="86">
        <f>0.006*0.5</f>
        <v>3.0000000000000001E-3</v>
      </c>
      <c r="L22" s="22">
        <f t="shared" ca="1" si="12"/>
        <v>0.2475</v>
      </c>
      <c r="M22" s="86"/>
      <c r="N22" s="22"/>
      <c r="O22" s="86"/>
      <c r="P22" s="22"/>
      <c r="Q22" s="22"/>
      <c r="R22" s="22"/>
      <c r="S22" s="86"/>
      <c r="T22" s="22"/>
      <c r="U22" s="87" t="s">
        <v>961</v>
      </c>
    </row>
    <row r="23" spans="1:21" ht="21.95" customHeight="1">
      <c r="A23" s="123" t="s">
        <v>1457</v>
      </c>
      <c r="B23" s="123" t="s">
        <v>381</v>
      </c>
      <c r="C23" s="497" t="s">
        <v>407</v>
      </c>
      <c r="D23" s="84">
        <f ca="1">SUM(SUMIF('10.가설(산)'!$C$3:$C$34,B23,'10.가설(산)'!$K$3:$K$34),SUMIF('10.가설(산)'!$E$3:$E$34,B23,'10.가설(산)'!$L$3:$L$34),SUMIF('10.가설(산)'!$G$3:$G$34,B23,'10.가설(산)'!$J$3:$J$34))</f>
        <v>105.3</v>
      </c>
      <c r="E23" s="84"/>
      <c r="F23" s="84"/>
      <c r="G23" s="498"/>
      <c r="H23" s="112">
        <f t="shared" ca="1" si="10"/>
        <v>105.3</v>
      </c>
      <c r="I23" s="85"/>
      <c r="J23" s="22">
        <f t="shared" ca="1" si="11"/>
        <v>105</v>
      </c>
      <c r="K23" s="86">
        <f>0.007*0.5</f>
        <v>3.5000000000000001E-3</v>
      </c>
      <c r="L23" s="22">
        <f t="shared" ca="1" si="12"/>
        <v>0.36849999999999999</v>
      </c>
      <c r="M23" s="86"/>
      <c r="N23" s="22"/>
      <c r="O23" s="86"/>
      <c r="P23" s="22"/>
      <c r="Q23" s="22"/>
      <c r="R23" s="22"/>
      <c r="S23" s="86"/>
      <c r="T23" s="22"/>
      <c r="U23" s="87" t="s">
        <v>961</v>
      </c>
    </row>
    <row r="24" spans="1:21" ht="21.95" customHeight="1">
      <c r="A24" s="123" t="s">
        <v>1458</v>
      </c>
      <c r="B24" s="123" t="s">
        <v>1043</v>
      </c>
      <c r="C24" s="497" t="s">
        <v>407</v>
      </c>
      <c r="D24" s="84">
        <f ca="1">SUM(SUMIF('10.가설(산)'!$C$3:$C$34,B24,'10.가설(산)'!$K$3:$K$34),SUMIF('10.가설(산)'!$E$3:$E$34,B24,'10.가설(산)'!$L$3:$L$34),SUMIF('10.가설(산)'!$G$3:$G$34,B24,'10.가설(산)'!$J$3:$J$34))</f>
        <v>82.5</v>
      </c>
      <c r="E24" s="84"/>
      <c r="F24" s="84"/>
      <c r="G24" s="498"/>
      <c r="H24" s="112">
        <f t="shared" ca="1" si="10"/>
        <v>82.5</v>
      </c>
      <c r="I24" s="85"/>
      <c r="J24" s="22">
        <f t="shared" ca="1" si="11"/>
        <v>83</v>
      </c>
      <c r="K24" s="86"/>
      <c r="L24" s="22"/>
      <c r="M24" s="86">
        <f>0.018*0.5</f>
        <v>8.9999999999999993E-3</v>
      </c>
      <c r="N24" s="22">
        <f t="shared" ref="N24:N26" ca="1" si="13">ROUNDDOWN($H24*M24,4)</f>
        <v>0.74250000000000005</v>
      </c>
      <c r="O24" s="86"/>
      <c r="P24" s="22"/>
      <c r="Q24" s="22"/>
      <c r="R24" s="22"/>
      <c r="S24" s="86"/>
      <c r="T24" s="22"/>
      <c r="U24" s="87" t="s">
        <v>963</v>
      </c>
    </row>
    <row r="25" spans="1:21" ht="21.95" customHeight="1">
      <c r="A25" s="123" t="s">
        <v>1458</v>
      </c>
      <c r="B25" s="123" t="s">
        <v>1433</v>
      </c>
      <c r="C25" s="497" t="s">
        <v>407</v>
      </c>
      <c r="D25" s="84">
        <f ca="1">SUM(SUMIF('10.가설(산)'!$C$3:$C$34,B25,'10.가설(산)'!$K$3:$K$34),SUMIF('10.가설(산)'!$E$3:$E$34,B25,'10.가설(산)'!$L$3:$L$34),SUMIF('10.가설(산)'!$G$3:$G$34,B25,'10.가설(산)'!$J$3:$J$34))</f>
        <v>93</v>
      </c>
      <c r="E25" s="84"/>
      <c r="F25" s="84"/>
      <c r="G25" s="498"/>
      <c r="H25" s="112">
        <f t="shared" ca="1" si="10"/>
        <v>93</v>
      </c>
      <c r="I25" s="85"/>
      <c r="J25" s="22">
        <f t="shared" ca="1" si="11"/>
        <v>93</v>
      </c>
      <c r="K25" s="86"/>
      <c r="L25" s="22"/>
      <c r="M25" s="86">
        <f>0.029*0.5</f>
        <v>1.4500000000000001E-2</v>
      </c>
      <c r="N25" s="22">
        <f t="shared" ca="1" si="13"/>
        <v>1.3485</v>
      </c>
      <c r="O25" s="86"/>
      <c r="P25" s="22"/>
      <c r="Q25" s="22"/>
      <c r="R25" s="22"/>
      <c r="S25" s="86"/>
      <c r="T25" s="22"/>
      <c r="U25" s="87" t="s">
        <v>963</v>
      </c>
    </row>
    <row r="26" spans="1:21" ht="21.95" customHeight="1">
      <c r="A26" s="123" t="s">
        <v>1458</v>
      </c>
      <c r="B26" s="123" t="s">
        <v>1408</v>
      </c>
      <c r="C26" s="497" t="s">
        <v>407</v>
      </c>
      <c r="D26" s="84">
        <f ca="1">SUM(SUMIF('10.가설(산)'!$C$3:$C$34,B26,'10.가설(산)'!$K$3:$K$34),SUMIF('10.가설(산)'!$E$3:$E$34,B26,'10.가설(산)'!$L$3:$L$34),SUMIF('10.가설(산)'!$G$3:$G$34,B26,'10.가설(산)'!$J$3:$J$34))</f>
        <v>105.3</v>
      </c>
      <c r="E26" s="84"/>
      <c r="F26" s="84"/>
      <c r="G26" s="498"/>
      <c r="H26" s="112">
        <f t="shared" ca="1" si="10"/>
        <v>105.3</v>
      </c>
      <c r="I26" s="85"/>
      <c r="J26" s="22">
        <f t="shared" ca="1" si="11"/>
        <v>105</v>
      </c>
      <c r="K26" s="86"/>
      <c r="L26" s="22"/>
      <c r="M26" s="86">
        <f>0.023*2.6*0.5</f>
        <v>2.9899999999999999E-2</v>
      </c>
      <c r="N26" s="22">
        <f t="shared" ca="1" si="13"/>
        <v>3.1484000000000001</v>
      </c>
      <c r="O26" s="86"/>
      <c r="P26" s="22"/>
      <c r="Q26" s="22"/>
      <c r="R26" s="22"/>
      <c r="S26" s="86"/>
      <c r="T26" s="22"/>
      <c r="U26" s="87" t="s">
        <v>1396</v>
      </c>
    </row>
    <row r="27" spans="1:21" ht="21.95" customHeight="1">
      <c r="A27" s="110" t="s">
        <v>1464</v>
      </c>
      <c r="B27" s="123" t="s">
        <v>1004</v>
      </c>
      <c r="C27" s="497" t="s">
        <v>407</v>
      </c>
      <c r="D27" s="84">
        <f ca="1">SUM(SUMIF('10.가설(산)'!$C$3:$C$34,B27,'10.가설(산)'!$K$3:$K$34),SUMIF('10.가설(산)'!$E$3:$E$34,B27,'10.가설(산)'!$L$3:$L$34),SUMIF('10.가설(산)'!$G$3:$G$34,B27,'10.가설(산)'!$J$3:$J$34))</f>
        <v>160.5</v>
      </c>
      <c r="E27" s="84"/>
      <c r="F27" s="84"/>
      <c r="G27" s="84"/>
      <c r="H27" s="112">
        <f t="shared" ref="H27:H30" ca="1" si="14">SUM(D27:G27)</f>
        <v>160.5</v>
      </c>
      <c r="I27" s="85">
        <v>0.1</v>
      </c>
      <c r="J27" s="22">
        <f t="shared" ca="1" si="11"/>
        <v>177</v>
      </c>
      <c r="K27" s="86">
        <f>0.072*0.3</f>
        <v>2.1599999999999998E-2</v>
      </c>
      <c r="L27" s="22">
        <f t="shared" ref="L27:L28" ca="1" si="15">ROUNDDOWN($H27*K27,4)</f>
        <v>3.4668000000000001</v>
      </c>
      <c r="M27" s="86"/>
      <c r="N27" s="22"/>
      <c r="O27" s="86"/>
      <c r="P27" s="22"/>
      <c r="Q27" s="22"/>
      <c r="R27" s="22"/>
      <c r="S27" s="86"/>
      <c r="T27" s="22"/>
      <c r="U27" s="87" t="s">
        <v>102</v>
      </c>
    </row>
    <row r="28" spans="1:21" ht="21.95" customHeight="1">
      <c r="A28" s="110" t="s">
        <v>1464</v>
      </c>
      <c r="B28" s="123" t="s">
        <v>1087</v>
      </c>
      <c r="C28" s="497" t="s">
        <v>407</v>
      </c>
      <c r="D28" s="84">
        <f ca="1">SUM(SUMIF('10.가설(산)'!$C$3:$C$34,B28,'10.가설(산)'!$K$3:$K$34),SUMIF('10.가설(산)'!$E$3:$E$34,B28,'10.가설(산)'!$L$3:$L$34),SUMIF('10.가설(산)'!$G$3:$G$34,B28,'10.가설(산)'!$J$3:$J$34))</f>
        <v>22.9</v>
      </c>
      <c r="E28" s="84"/>
      <c r="F28" s="84"/>
      <c r="G28" s="84"/>
      <c r="H28" s="112">
        <f t="shared" ca="1" si="14"/>
        <v>22.9</v>
      </c>
      <c r="I28" s="85">
        <v>0.1</v>
      </c>
      <c r="J28" s="22">
        <f t="shared" ca="1" si="11"/>
        <v>25</v>
      </c>
      <c r="K28" s="86">
        <f>0.09*0.3</f>
        <v>2.7E-2</v>
      </c>
      <c r="L28" s="22">
        <f t="shared" ca="1" si="15"/>
        <v>0.61829999999999996</v>
      </c>
      <c r="M28" s="86"/>
      <c r="N28" s="22"/>
      <c r="O28" s="86"/>
      <c r="P28" s="22"/>
      <c r="Q28" s="22"/>
      <c r="R28" s="22"/>
      <c r="S28" s="86"/>
      <c r="T28" s="22"/>
      <c r="U28" s="87" t="s">
        <v>102</v>
      </c>
    </row>
    <row r="29" spans="1:21" ht="21.95" customHeight="1">
      <c r="A29" s="110" t="s">
        <v>1465</v>
      </c>
      <c r="B29" s="123" t="s">
        <v>992</v>
      </c>
      <c r="C29" s="497" t="s">
        <v>407</v>
      </c>
      <c r="D29" s="84">
        <f ca="1">SUM(SUMIF('10.가설(산)'!$C$3:$C$34,B29,'10.가설(산)'!$K$3:$K$34),SUMIF('10.가설(산)'!$E$3:$E$34,B29,'10.가설(산)'!$L$3:$L$34),SUMIF('10.가설(산)'!$G$3:$G$34,B29,'10.가설(산)'!$J$3:$J$34))</f>
        <v>6</v>
      </c>
      <c r="E29" s="84"/>
      <c r="F29" s="84"/>
      <c r="G29" s="84"/>
      <c r="H29" s="112">
        <f t="shared" ca="1" si="14"/>
        <v>6</v>
      </c>
      <c r="I29" s="85">
        <v>0.1</v>
      </c>
      <c r="J29" s="22">
        <f t="shared" ca="1" si="11"/>
        <v>7</v>
      </c>
      <c r="K29" s="86">
        <f>0.0648*0.3</f>
        <v>1.9439999999999999E-2</v>
      </c>
      <c r="L29" s="22">
        <f t="shared" ref="L29" ca="1" si="16">ROUNDDOWN($H29*K29,4)</f>
        <v>0.1166</v>
      </c>
      <c r="M29" s="86"/>
      <c r="N29" s="22"/>
      <c r="O29" s="86"/>
      <c r="P29" s="22"/>
      <c r="Q29" s="22"/>
      <c r="R29" s="22"/>
      <c r="S29" s="86"/>
      <c r="T29" s="22"/>
      <c r="U29" s="87" t="s">
        <v>102</v>
      </c>
    </row>
    <row r="30" spans="1:21" ht="21.95" customHeight="1">
      <c r="A30" s="110" t="s">
        <v>1466</v>
      </c>
      <c r="B30" s="110" t="s">
        <v>1459</v>
      </c>
      <c r="C30" s="499" t="s">
        <v>273</v>
      </c>
      <c r="D30" s="498">
        <v>1</v>
      </c>
      <c r="E30" s="498"/>
      <c r="F30" s="498"/>
      <c r="G30" s="498"/>
      <c r="H30" s="112">
        <f t="shared" si="14"/>
        <v>1</v>
      </c>
      <c r="I30" s="85"/>
      <c r="J30" s="22">
        <f t="shared" si="11"/>
        <v>1</v>
      </c>
      <c r="K30" s="86">
        <f>1.107*0.3</f>
        <v>0.33210000000000001</v>
      </c>
      <c r="L30" s="22">
        <f>ROUNDDOWN($H30*K30,4)</f>
        <v>0.33210000000000001</v>
      </c>
      <c r="M30" s="86"/>
      <c r="N30" s="22"/>
      <c r="O30" s="86"/>
      <c r="P30" s="22"/>
      <c r="Q30" s="22"/>
      <c r="R30" s="22"/>
      <c r="S30" s="86"/>
      <c r="T30" s="22"/>
      <c r="U30" s="87" t="s">
        <v>1201</v>
      </c>
    </row>
    <row r="31" spans="1:21" ht="21.95" customHeight="1">
      <c r="A31" s="123"/>
      <c r="B31" s="231"/>
      <c r="C31" s="497"/>
      <c r="D31" s="84"/>
      <c r="E31" s="84"/>
      <c r="F31" s="84"/>
      <c r="G31" s="498"/>
      <c r="H31" s="112"/>
      <c r="I31" s="85"/>
      <c r="J31" s="22"/>
      <c r="K31" s="86"/>
      <c r="L31" s="22"/>
      <c r="M31" s="86"/>
      <c r="N31" s="22"/>
      <c r="O31" s="86"/>
      <c r="P31" s="22"/>
      <c r="Q31" s="22"/>
      <c r="R31" s="22"/>
      <c r="S31" s="86"/>
      <c r="T31" s="22"/>
      <c r="U31" s="87"/>
    </row>
    <row r="32" spans="1:21" ht="21.95" customHeight="1">
      <c r="A32" s="123"/>
      <c r="B32" s="231"/>
      <c r="C32" s="497"/>
      <c r="D32" s="84"/>
      <c r="E32" s="84"/>
      <c r="F32" s="84"/>
      <c r="G32" s="498"/>
      <c r="H32" s="112"/>
      <c r="I32" s="85"/>
      <c r="J32" s="22"/>
      <c r="K32" s="86"/>
      <c r="L32" s="22"/>
      <c r="M32" s="86"/>
      <c r="N32" s="22"/>
      <c r="O32" s="86"/>
      <c r="P32" s="22"/>
      <c r="Q32" s="22"/>
      <c r="R32" s="22"/>
      <c r="S32" s="86"/>
      <c r="T32" s="22"/>
      <c r="U32" s="87"/>
    </row>
    <row r="33" spans="1:21" ht="21.95" customHeight="1">
      <c r="A33" s="123"/>
      <c r="B33" s="231"/>
      <c r="C33" s="497"/>
      <c r="D33" s="84"/>
      <c r="E33" s="84"/>
      <c r="F33" s="84"/>
      <c r="G33" s="498"/>
      <c r="H33" s="112"/>
      <c r="I33" s="85"/>
      <c r="J33" s="22"/>
      <c r="K33" s="86"/>
      <c r="L33" s="22"/>
      <c r="M33" s="86"/>
      <c r="N33" s="22"/>
      <c r="O33" s="86"/>
      <c r="P33" s="22"/>
      <c r="Q33" s="22"/>
      <c r="R33" s="22"/>
      <c r="S33" s="86"/>
      <c r="T33" s="22"/>
      <c r="U33" s="87"/>
    </row>
    <row r="34" spans="1:21" ht="21.95" customHeight="1">
      <c r="A34" s="123"/>
      <c r="B34" s="231"/>
      <c r="C34" s="497"/>
      <c r="D34" s="84"/>
      <c r="E34" s="84"/>
      <c r="F34" s="84"/>
      <c r="G34" s="498"/>
      <c r="H34" s="112"/>
      <c r="I34" s="85"/>
      <c r="J34" s="22"/>
      <c r="K34" s="86"/>
      <c r="L34" s="22"/>
      <c r="M34" s="86"/>
      <c r="N34" s="22"/>
      <c r="O34" s="86"/>
      <c r="P34" s="22"/>
      <c r="Q34" s="22"/>
      <c r="R34" s="22"/>
      <c r="S34" s="86"/>
      <c r="T34" s="22"/>
      <c r="U34" s="87"/>
    </row>
    <row r="35" spans="1:21" ht="21.95" customHeight="1">
      <c r="A35" s="123"/>
      <c r="B35" s="231"/>
      <c r="C35" s="497"/>
      <c r="D35" s="84"/>
      <c r="E35" s="84"/>
      <c r="F35" s="84"/>
      <c r="G35" s="498"/>
      <c r="H35" s="112"/>
      <c r="I35" s="85"/>
      <c r="J35" s="22"/>
      <c r="K35" s="86"/>
      <c r="L35" s="22"/>
      <c r="M35" s="86"/>
      <c r="N35" s="22"/>
      <c r="O35" s="86"/>
      <c r="P35" s="22"/>
      <c r="Q35" s="22"/>
      <c r="R35" s="22"/>
      <c r="S35" s="86"/>
      <c r="T35" s="22"/>
      <c r="U35" s="87"/>
    </row>
    <row r="36" spans="1:21" ht="21.95" customHeight="1">
      <c r="A36" s="123"/>
      <c r="B36" s="231"/>
      <c r="C36" s="497"/>
      <c r="D36" s="84"/>
      <c r="E36" s="84"/>
      <c r="F36" s="84"/>
      <c r="G36" s="498"/>
      <c r="H36" s="112"/>
      <c r="I36" s="85"/>
      <c r="J36" s="22"/>
      <c r="K36" s="86"/>
      <c r="L36" s="22"/>
      <c r="M36" s="86"/>
      <c r="N36" s="22"/>
      <c r="O36" s="86"/>
      <c r="P36" s="22"/>
      <c r="Q36" s="22"/>
      <c r="R36" s="22"/>
      <c r="S36" s="86"/>
      <c r="T36" s="22"/>
      <c r="U36" s="87"/>
    </row>
    <row r="37" spans="1:21" ht="21.95" customHeight="1">
      <c r="A37" s="123"/>
      <c r="B37" s="231"/>
      <c r="C37" s="497"/>
      <c r="D37" s="84"/>
      <c r="E37" s="84"/>
      <c r="F37" s="84"/>
      <c r="G37" s="498"/>
      <c r="H37" s="112"/>
      <c r="I37" s="85"/>
      <c r="J37" s="22"/>
      <c r="K37" s="86"/>
      <c r="L37" s="22"/>
      <c r="M37" s="86"/>
      <c r="N37" s="22"/>
      <c r="O37" s="86"/>
      <c r="P37" s="22"/>
      <c r="Q37" s="22"/>
      <c r="R37" s="22"/>
      <c r="S37" s="86"/>
      <c r="T37" s="22"/>
      <c r="U37" s="87"/>
    </row>
    <row r="38" spans="1:21" ht="21.95" customHeight="1">
      <c r="A38" s="123"/>
      <c r="B38" s="231"/>
      <c r="C38" s="497"/>
      <c r="D38" s="84"/>
      <c r="E38" s="84"/>
      <c r="F38" s="84"/>
      <c r="G38" s="498"/>
      <c r="H38" s="112"/>
      <c r="I38" s="85"/>
      <c r="J38" s="22"/>
      <c r="K38" s="86"/>
      <c r="L38" s="22"/>
      <c r="M38" s="86"/>
      <c r="N38" s="22"/>
      <c r="O38" s="86"/>
      <c r="P38" s="22"/>
      <c r="Q38" s="22"/>
      <c r="R38" s="22"/>
      <c r="S38" s="86"/>
      <c r="T38" s="22"/>
      <c r="U38" s="87"/>
    </row>
    <row r="39" spans="1:21" ht="21.95" customHeight="1">
      <c r="A39" s="123"/>
      <c r="B39" s="231"/>
      <c r="C39" s="497"/>
      <c r="D39" s="84"/>
      <c r="E39" s="84"/>
      <c r="F39" s="84"/>
      <c r="G39" s="498"/>
      <c r="H39" s="112"/>
      <c r="I39" s="85"/>
      <c r="J39" s="22"/>
      <c r="K39" s="86"/>
      <c r="L39" s="22"/>
      <c r="M39" s="86"/>
      <c r="N39" s="22"/>
      <c r="O39" s="86"/>
      <c r="P39" s="22"/>
      <c r="Q39" s="22"/>
      <c r="R39" s="22"/>
      <c r="S39" s="86"/>
      <c r="T39" s="22"/>
      <c r="U39" s="87"/>
    </row>
    <row r="40" spans="1:21" ht="21.95" customHeight="1">
      <c r="A40" s="123"/>
      <c r="B40" s="231"/>
      <c r="C40" s="497"/>
      <c r="D40" s="84"/>
      <c r="E40" s="84"/>
      <c r="F40" s="84"/>
      <c r="G40" s="498"/>
      <c r="H40" s="112"/>
      <c r="I40" s="85"/>
      <c r="J40" s="22"/>
      <c r="K40" s="86"/>
      <c r="L40" s="22"/>
      <c r="M40" s="86"/>
      <c r="N40" s="22"/>
      <c r="O40" s="86"/>
      <c r="P40" s="22"/>
      <c r="Q40" s="22"/>
      <c r="R40" s="22"/>
      <c r="S40" s="86"/>
      <c r="T40" s="22"/>
      <c r="U40" s="87"/>
    </row>
    <row r="41" spans="1:21" ht="21.95" customHeight="1">
      <c r="A41" s="123"/>
      <c r="B41" s="231"/>
      <c r="C41" s="497"/>
      <c r="D41" s="84"/>
      <c r="E41" s="84"/>
      <c r="F41" s="84"/>
      <c r="G41" s="498"/>
      <c r="H41" s="112"/>
      <c r="I41" s="85"/>
      <c r="J41" s="22"/>
      <c r="K41" s="86"/>
      <c r="L41" s="22"/>
      <c r="M41" s="86"/>
      <c r="N41" s="22"/>
      <c r="O41" s="86"/>
      <c r="P41" s="22"/>
      <c r="Q41" s="22"/>
      <c r="R41" s="22"/>
      <c r="S41" s="86"/>
      <c r="T41" s="22"/>
      <c r="U41" s="87"/>
    </row>
    <row r="42" spans="1:21" ht="21.95" customHeight="1">
      <c r="A42" s="123"/>
      <c r="B42" s="231"/>
      <c r="C42" s="497"/>
      <c r="D42" s="84"/>
      <c r="E42" s="84"/>
      <c r="F42" s="84"/>
      <c r="G42" s="498"/>
      <c r="H42" s="112"/>
      <c r="I42" s="85"/>
      <c r="J42" s="22"/>
      <c r="K42" s="86"/>
      <c r="L42" s="22"/>
      <c r="M42" s="86"/>
      <c r="N42" s="22"/>
      <c r="O42" s="86"/>
      <c r="P42" s="22"/>
      <c r="Q42" s="22"/>
      <c r="R42" s="22"/>
      <c r="S42" s="86"/>
      <c r="T42" s="22"/>
      <c r="U42" s="87"/>
    </row>
    <row r="43" spans="1:21" ht="21.95" customHeight="1">
      <c r="A43" s="123"/>
      <c r="B43" s="231"/>
      <c r="C43" s="497"/>
      <c r="D43" s="84"/>
      <c r="E43" s="84"/>
      <c r="F43" s="84"/>
      <c r="G43" s="498"/>
      <c r="H43" s="112"/>
      <c r="I43" s="85"/>
      <c r="J43" s="22"/>
      <c r="K43" s="86"/>
      <c r="L43" s="22"/>
      <c r="M43" s="86"/>
      <c r="N43" s="22"/>
      <c r="O43" s="86"/>
      <c r="P43" s="22"/>
      <c r="Q43" s="22"/>
      <c r="R43" s="22"/>
      <c r="S43" s="86"/>
      <c r="T43" s="22"/>
      <c r="U43" s="87"/>
    </row>
    <row r="44" spans="1:21" ht="21.95" customHeight="1">
      <c r="A44" s="123"/>
      <c r="B44" s="231"/>
      <c r="C44" s="497"/>
      <c r="D44" s="84"/>
      <c r="E44" s="84"/>
      <c r="F44" s="84"/>
      <c r="G44" s="498"/>
      <c r="H44" s="112"/>
      <c r="I44" s="85"/>
      <c r="J44" s="22"/>
      <c r="K44" s="86"/>
      <c r="L44" s="22"/>
      <c r="M44" s="86"/>
      <c r="N44" s="22"/>
      <c r="O44" s="86"/>
      <c r="P44" s="22"/>
      <c r="Q44" s="22"/>
      <c r="R44" s="22"/>
      <c r="S44" s="86"/>
      <c r="T44" s="22"/>
      <c r="U44" s="87"/>
    </row>
    <row r="45" spans="1:21" ht="21.95" customHeight="1">
      <c r="A45" s="123"/>
      <c r="B45" s="231"/>
      <c r="C45" s="497"/>
      <c r="D45" s="84"/>
      <c r="E45" s="84"/>
      <c r="F45" s="84"/>
      <c r="G45" s="498"/>
      <c r="H45" s="112"/>
      <c r="I45" s="85"/>
      <c r="J45" s="22"/>
      <c r="K45" s="86"/>
      <c r="L45" s="22"/>
      <c r="M45" s="86"/>
      <c r="N45" s="22"/>
      <c r="O45" s="86"/>
      <c r="P45" s="22"/>
      <c r="Q45" s="22"/>
      <c r="R45" s="22"/>
      <c r="S45" s="86"/>
      <c r="T45" s="22"/>
      <c r="U45" s="87"/>
    </row>
    <row r="46" spans="1:21" ht="21.95" customHeight="1">
      <c r="A46" s="123"/>
      <c r="B46" s="231"/>
      <c r="C46" s="497"/>
      <c r="D46" s="84"/>
      <c r="E46" s="84"/>
      <c r="F46" s="84"/>
      <c r="G46" s="498"/>
      <c r="H46" s="112"/>
      <c r="I46" s="85"/>
      <c r="J46" s="22"/>
      <c r="K46" s="86"/>
      <c r="L46" s="22"/>
      <c r="M46" s="86"/>
      <c r="N46" s="22"/>
      <c r="O46" s="86"/>
      <c r="P46" s="22"/>
      <c r="Q46" s="22"/>
      <c r="R46" s="22"/>
      <c r="S46" s="86"/>
      <c r="T46" s="22"/>
      <c r="U46" s="87"/>
    </row>
    <row r="47" spans="1:21" ht="21.95" customHeight="1">
      <c r="A47" s="123"/>
      <c r="B47" s="110"/>
      <c r="C47" s="497"/>
      <c r="D47" s="84"/>
      <c r="E47" s="498"/>
      <c r="F47" s="498"/>
      <c r="G47" s="498"/>
      <c r="H47" s="112"/>
      <c r="I47" s="85"/>
      <c r="J47" s="22"/>
      <c r="K47" s="86"/>
      <c r="L47" s="22"/>
      <c r="M47" s="86"/>
      <c r="N47" s="22"/>
      <c r="O47" s="86"/>
      <c r="P47" s="22"/>
      <c r="Q47" s="22"/>
      <c r="R47" s="22"/>
      <c r="S47" s="86"/>
      <c r="T47" s="22"/>
      <c r="U47" s="87"/>
    </row>
    <row r="48" spans="1:21" ht="21.95" customHeight="1">
      <c r="A48" s="110"/>
      <c r="B48" s="110"/>
      <c r="C48" s="497"/>
      <c r="D48" s="498"/>
      <c r="E48" s="498"/>
      <c r="F48" s="498"/>
      <c r="G48" s="498"/>
      <c r="H48" s="112"/>
      <c r="I48" s="85"/>
      <c r="J48" s="22"/>
      <c r="K48" s="86"/>
      <c r="L48" s="22"/>
      <c r="M48" s="86"/>
      <c r="N48" s="22"/>
      <c r="O48" s="86"/>
      <c r="P48" s="22"/>
      <c r="Q48" s="22"/>
      <c r="R48" s="22"/>
      <c r="S48" s="86"/>
      <c r="T48" s="22"/>
      <c r="U48" s="87"/>
    </row>
    <row r="49" spans="1:22" ht="21.95" customHeight="1">
      <c r="A49" s="112" t="s">
        <v>312</v>
      </c>
      <c r="B49" s="112"/>
      <c r="C49" s="112"/>
      <c r="D49" s="112"/>
      <c r="E49" s="112"/>
      <c r="F49" s="112"/>
      <c r="G49" s="112"/>
      <c r="H49" s="90"/>
      <c r="I49" s="91"/>
      <c r="J49" s="22"/>
      <c r="K49" s="84"/>
      <c r="L49" s="84">
        <f ca="1">ROUNDDOWN(SUM(L3:L48)*$V49,1)</f>
        <v>23</v>
      </c>
      <c r="M49" s="89"/>
      <c r="N49" s="84">
        <f ca="1">ROUNDDOWN(SUM(N3:N48)*$V49,1)</f>
        <v>15.7</v>
      </c>
      <c r="O49" s="84"/>
      <c r="P49" s="84">
        <f ca="1">ROUNDDOWN(SUM(P3:P48)*$V49,1)</f>
        <v>0.1</v>
      </c>
      <c r="Q49" s="84"/>
      <c r="R49" s="84">
        <f>ROUNDDOWN(SUM(R3:R48)*$V49,1)</f>
        <v>0.5</v>
      </c>
      <c r="S49" s="89"/>
      <c r="T49" s="84">
        <f ca="1">ROUNDDOWN(SUM(T3:T48)*$V49,1)</f>
        <v>0.5</v>
      </c>
      <c r="U49" s="87"/>
      <c r="V49" s="119">
        <v>1</v>
      </c>
    </row>
  </sheetData>
  <mergeCells count="14">
    <mergeCell ref="U2:U3"/>
    <mergeCell ref="Q2:R2"/>
    <mergeCell ref="I2:I3"/>
    <mergeCell ref="J2:J3"/>
    <mergeCell ref="K2:L2"/>
    <mergeCell ref="M2:N2"/>
    <mergeCell ref="O2:P2"/>
    <mergeCell ref="S2:T2"/>
    <mergeCell ref="H2:H3"/>
    <mergeCell ref="A1:B1"/>
    <mergeCell ref="A2:A3"/>
    <mergeCell ref="B2:B3"/>
    <mergeCell ref="C2:C3"/>
    <mergeCell ref="D2:G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9"/>
  <dimension ref="A1:X34"/>
  <sheetViews>
    <sheetView showZeros="0" view="pageBreakPreview" zoomScaleSheetLayoutView="100" workbookViewId="0">
      <pane xSplit="2" ySplit="2" topLeftCell="C15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21" customHeight="1"/>
  <cols>
    <col min="1" max="1" width="7.77734375" style="100" customWidth="1"/>
    <col min="2" max="2" width="6.77734375" style="107" customWidth="1"/>
    <col min="3" max="3" width="12.77734375" style="100" customWidth="1"/>
    <col min="4" max="4" width="3.21875" style="100" customWidth="1"/>
    <col min="5" max="5" width="9.77734375" style="100" customWidth="1"/>
    <col min="6" max="6" width="3.21875" style="100" customWidth="1"/>
    <col min="7" max="7" width="12.77734375" style="100" customWidth="1"/>
    <col min="8" max="8" width="3.109375" style="100" customWidth="1"/>
    <col min="9" max="9" width="55.77734375" style="108" customWidth="1"/>
    <col min="10" max="10" width="6.33203125" style="103" customWidth="1"/>
    <col min="11" max="11" width="6.33203125" style="104" customWidth="1"/>
    <col min="12" max="12" width="6.33203125" style="105" customWidth="1"/>
    <col min="13" max="16384" width="8.88671875" style="100"/>
  </cols>
  <sheetData>
    <row r="1" spans="1:24" ht="21" customHeight="1">
      <c r="A1" s="209" t="s">
        <v>1456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73" t="s">
        <v>91</v>
      </c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</row>
    <row r="2" spans="1:24" s="102" customFormat="1" ht="21" customHeight="1">
      <c r="A2" s="101" t="s">
        <v>313</v>
      </c>
      <c r="B2" s="106" t="s">
        <v>92</v>
      </c>
      <c r="C2" s="669" t="s">
        <v>93</v>
      </c>
      <c r="D2" s="670"/>
      <c r="E2" s="670"/>
      <c r="F2" s="670"/>
      <c r="G2" s="670"/>
      <c r="H2" s="671"/>
      <c r="I2" s="101" t="s">
        <v>94</v>
      </c>
      <c r="J2" s="101" t="s">
        <v>95</v>
      </c>
      <c r="K2" s="669" t="s">
        <v>314</v>
      </c>
      <c r="L2" s="671"/>
    </row>
    <row r="3" spans="1:24" s="167" customFormat="1" ht="22.5" customHeight="1">
      <c r="A3" s="99" t="s">
        <v>1390</v>
      </c>
      <c r="B3" s="118" t="s">
        <v>1417</v>
      </c>
      <c r="C3" s="123" t="s">
        <v>1408</v>
      </c>
      <c r="D3" s="230">
        <v>1</v>
      </c>
      <c r="E3" s="123" t="s">
        <v>1407</v>
      </c>
      <c r="F3" s="230">
        <v>1</v>
      </c>
      <c r="G3" s="123" t="s">
        <v>1409</v>
      </c>
      <c r="H3" s="230">
        <v>1</v>
      </c>
      <c r="I3" s="176" t="s">
        <v>1419</v>
      </c>
      <c r="J3" s="225">
        <f ca="1">djs(I3,1)*H3</f>
        <v>22.9</v>
      </c>
      <c r="K3" s="228">
        <f t="shared" ref="K3:K6" ca="1" si="0">((djs(I3,0)+djs(I3,1))*D3)*H3</f>
        <v>77.8</v>
      </c>
      <c r="L3" s="229">
        <f t="shared" ref="L3:L6" ca="1" si="1">((djs(I3,0)+djs(I3,1))*F3)*H3</f>
        <v>77.8</v>
      </c>
      <c r="M3" s="232"/>
    </row>
    <row r="4" spans="1:24" s="167" customFormat="1" ht="22.5" customHeight="1">
      <c r="A4" s="99"/>
      <c r="B4" s="118"/>
      <c r="C4" s="123" t="s">
        <v>1408</v>
      </c>
      <c r="D4" s="230">
        <v>1</v>
      </c>
      <c r="E4" s="123" t="s">
        <v>1407</v>
      </c>
      <c r="F4" s="230">
        <v>1</v>
      </c>
      <c r="G4" s="123" t="s">
        <v>1418</v>
      </c>
      <c r="H4" s="230">
        <v>1</v>
      </c>
      <c r="I4" s="176" t="s">
        <v>1420</v>
      </c>
      <c r="J4" s="225">
        <f ca="1">djs(I4,1)*H4</f>
        <v>26.5</v>
      </c>
      <c r="K4" s="228">
        <f t="shared" ref="K4" ca="1" si="2">((djs(I4,0)+djs(I4,1))*D4)*H4</f>
        <v>27.5</v>
      </c>
      <c r="L4" s="229">
        <f t="shared" ref="L4" ca="1" si="3">((djs(I4,0)+djs(I4,1))*F4)*H4</f>
        <v>27.5</v>
      </c>
      <c r="M4" s="232"/>
    </row>
    <row r="5" spans="1:24" s="167" customFormat="1" ht="22.5" customHeight="1">
      <c r="A5" s="99"/>
      <c r="B5" s="118" t="s">
        <v>1421</v>
      </c>
      <c r="C5" s="123" t="s">
        <v>1422</v>
      </c>
      <c r="D5" s="230"/>
      <c r="E5" s="123"/>
      <c r="F5" s="230"/>
      <c r="G5" s="123" t="s">
        <v>1325</v>
      </c>
      <c r="H5" s="230">
        <v>1</v>
      </c>
      <c r="I5" s="176" t="s">
        <v>1423</v>
      </c>
      <c r="J5" s="225">
        <f ca="1">djs(I5,1)*H5</f>
        <v>7.5</v>
      </c>
      <c r="K5" s="228">
        <f t="shared" ref="K5" ca="1" si="4">((djs(I5,0)+djs(I5,1))*D5)*H5</f>
        <v>0</v>
      </c>
      <c r="L5" s="229">
        <f t="shared" ref="L5" ca="1" si="5">((djs(I5,0)+djs(I5,1))*F5)*H5</f>
        <v>0</v>
      </c>
      <c r="M5" s="232"/>
    </row>
    <row r="6" spans="1:24" s="167" customFormat="1" ht="22.5" customHeight="1">
      <c r="A6" s="99"/>
      <c r="B6" s="118"/>
      <c r="C6" s="123" t="s">
        <v>404</v>
      </c>
      <c r="D6" s="230"/>
      <c r="E6" s="123"/>
      <c r="F6" s="230"/>
      <c r="G6" s="123" t="s">
        <v>405</v>
      </c>
      <c r="H6" s="230">
        <v>1</v>
      </c>
      <c r="I6" s="176" t="s">
        <v>1424</v>
      </c>
      <c r="J6" s="225">
        <f t="shared" ref="J6" ca="1" si="6">djs(I6,1)*H6</f>
        <v>25</v>
      </c>
      <c r="K6" s="228">
        <f t="shared" ca="1" si="0"/>
        <v>0</v>
      </c>
      <c r="L6" s="229">
        <f t="shared" ca="1" si="1"/>
        <v>0</v>
      </c>
      <c r="M6" s="232"/>
    </row>
    <row r="7" spans="1:24" s="167" customFormat="1" ht="22.5" customHeight="1">
      <c r="A7" s="118"/>
      <c r="B7" s="118"/>
      <c r="C7" s="123"/>
      <c r="D7" s="230"/>
      <c r="E7" s="123"/>
      <c r="F7" s="230"/>
      <c r="G7" s="123"/>
      <c r="H7" s="230"/>
      <c r="I7" s="176"/>
      <c r="J7" s="225"/>
      <c r="K7" s="228"/>
      <c r="L7" s="229"/>
      <c r="M7" s="232"/>
    </row>
    <row r="8" spans="1:24" s="167" customFormat="1" ht="22.5" customHeight="1">
      <c r="A8" s="118" t="s">
        <v>1417</v>
      </c>
      <c r="B8" s="118" t="s">
        <v>1425</v>
      </c>
      <c r="C8" s="123" t="s">
        <v>1428</v>
      </c>
      <c r="D8" s="230">
        <v>1</v>
      </c>
      <c r="E8" s="123" t="s">
        <v>1429</v>
      </c>
      <c r="F8" s="230">
        <v>1</v>
      </c>
      <c r="G8" s="123" t="s">
        <v>1400</v>
      </c>
      <c r="H8" s="230">
        <v>1</v>
      </c>
      <c r="I8" s="176" t="s">
        <v>1430</v>
      </c>
      <c r="J8" s="225">
        <f ca="1">djs(I8,1)*H8</f>
        <v>18.5</v>
      </c>
      <c r="K8" s="228">
        <f t="shared" ref="K8" ca="1" si="7">((djs(I8,0)+djs(I8,1))*D8)*H8</f>
        <v>20.5</v>
      </c>
      <c r="L8" s="229">
        <f t="shared" ref="L8" ca="1" si="8">((djs(I8,0)+djs(I8,1))*F8)*H8</f>
        <v>20.5</v>
      </c>
      <c r="M8" s="232"/>
    </row>
    <row r="9" spans="1:24" s="167" customFormat="1" ht="22.5" customHeight="1">
      <c r="A9" s="99"/>
      <c r="B9" s="118" t="s">
        <v>1426</v>
      </c>
      <c r="C9" s="123" t="s">
        <v>1428</v>
      </c>
      <c r="D9" s="230">
        <v>1</v>
      </c>
      <c r="E9" s="123" t="s">
        <v>1429</v>
      </c>
      <c r="F9" s="230">
        <v>1</v>
      </c>
      <c r="G9" s="123" t="s">
        <v>1400</v>
      </c>
      <c r="H9" s="230">
        <v>1</v>
      </c>
      <c r="I9" s="176" t="s">
        <v>1431</v>
      </c>
      <c r="J9" s="225">
        <f ca="1">djs(I9,1)*H9</f>
        <v>27.5</v>
      </c>
      <c r="K9" s="228">
        <f t="shared" ref="K9:K10" ca="1" si="9">((djs(I9,0)+djs(I9,1))*D9)*H9</f>
        <v>29.5</v>
      </c>
      <c r="L9" s="229">
        <f t="shared" ref="L9:L10" ca="1" si="10">((djs(I9,0)+djs(I9,1))*F9)*H9</f>
        <v>29.5</v>
      </c>
      <c r="M9" s="232"/>
    </row>
    <row r="10" spans="1:24" s="167" customFormat="1" ht="22.5" customHeight="1">
      <c r="A10" s="99"/>
      <c r="B10" s="118" t="s">
        <v>1427</v>
      </c>
      <c r="C10" s="123" t="s">
        <v>1428</v>
      </c>
      <c r="D10" s="230">
        <v>1</v>
      </c>
      <c r="E10" s="123" t="s">
        <v>1429</v>
      </c>
      <c r="F10" s="230">
        <v>1</v>
      </c>
      <c r="G10" s="123" t="s">
        <v>1400</v>
      </c>
      <c r="H10" s="230">
        <v>1</v>
      </c>
      <c r="I10" s="176" t="s">
        <v>1432</v>
      </c>
      <c r="J10" s="225">
        <f ca="1">djs(I10,1)*H10</f>
        <v>30.5</v>
      </c>
      <c r="K10" s="228">
        <f t="shared" ca="1" si="9"/>
        <v>32.5</v>
      </c>
      <c r="L10" s="229">
        <f t="shared" ca="1" si="10"/>
        <v>32.5</v>
      </c>
      <c r="M10" s="232"/>
    </row>
    <row r="11" spans="1:24" s="167" customFormat="1" ht="22.5" customHeight="1">
      <c r="A11" s="118"/>
      <c r="B11" s="118"/>
      <c r="C11" s="123"/>
      <c r="D11" s="230"/>
      <c r="E11" s="123"/>
      <c r="F11" s="230"/>
      <c r="G11" s="123"/>
      <c r="H11" s="230"/>
      <c r="I11" s="176"/>
      <c r="J11" s="225"/>
      <c r="K11" s="228"/>
      <c r="L11" s="229"/>
      <c r="M11" s="232"/>
    </row>
    <row r="12" spans="1:24" s="167" customFormat="1" ht="22.5" customHeight="1">
      <c r="A12" s="118" t="s">
        <v>1417</v>
      </c>
      <c r="B12" s="118" t="s">
        <v>1434</v>
      </c>
      <c r="C12" s="123" t="s">
        <v>1433</v>
      </c>
      <c r="D12" s="230">
        <v>1</v>
      </c>
      <c r="E12" s="123" t="s">
        <v>1402</v>
      </c>
      <c r="F12" s="230">
        <v>1</v>
      </c>
      <c r="G12" s="123" t="s">
        <v>1400</v>
      </c>
      <c r="H12" s="230">
        <v>1</v>
      </c>
      <c r="I12" s="176" t="s">
        <v>1438</v>
      </c>
      <c r="J12" s="225">
        <f t="shared" ref="J12:J17" ca="1" si="11">djs(I12,1)*H12</f>
        <v>21</v>
      </c>
      <c r="K12" s="228">
        <f t="shared" ref="K12" ca="1" si="12">((djs(I12,0)+djs(I12,1))*D12)*H12</f>
        <v>22</v>
      </c>
      <c r="L12" s="229">
        <f t="shared" ref="L12" ca="1" si="13">((djs(I12,0)+djs(I12,1))*F12)*H12</f>
        <v>22</v>
      </c>
      <c r="M12" s="232"/>
    </row>
    <row r="13" spans="1:24" s="167" customFormat="1" ht="22.5" customHeight="1">
      <c r="A13" s="118"/>
      <c r="B13" s="118"/>
      <c r="C13" s="123" t="s">
        <v>1433</v>
      </c>
      <c r="D13" s="230">
        <v>1</v>
      </c>
      <c r="E13" s="123" t="s">
        <v>1402</v>
      </c>
      <c r="F13" s="230">
        <v>1</v>
      </c>
      <c r="G13" s="123" t="s">
        <v>1403</v>
      </c>
      <c r="H13" s="230">
        <v>1</v>
      </c>
      <c r="I13" s="176">
        <v>2</v>
      </c>
      <c r="J13" s="225">
        <f t="shared" ca="1" si="11"/>
        <v>2</v>
      </c>
      <c r="K13" s="228">
        <f t="shared" ref="K13:K14" ca="1" si="14">((djs(I13,0)+djs(I13,1))*D13)*H13</f>
        <v>2</v>
      </c>
      <c r="L13" s="229">
        <f t="shared" ref="L13:L14" ca="1" si="15">((djs(I13,0)+djs(I13,1))*F13)*H13</f>
        <v>2</v>
      </c>
      <c r="M13" s="232"/>
    </row>
    <row r="14" spans="1:24" s="167" customFormat="1" ht="22.5" customHeight="1">
      <c r="A14" s="99"/>
      <c r="B14" s="118" t="s">
        <v>1435</v>
      </c>
      <c r="C14" s="123" t="s">
        <v>1433</v>
      </c>
      <c r="D14" s="230">
        <v>1</v>
      </c>
      <c r="E14" s="123" t="s">
        <v>1402</v>
      </c>
      <c r="F14" s="230">
        <v>1</v>
      </c>
      <c r="G14" s="123" t="s">
        <v>1400</v>
      </c>
      <c r="H14" s="230">
        <v>1</v>
      </c>
      <c r="I14" s="176" t="s">
        <v>1437</v>
      </c>
      <c r="J14" s="225">
        <f t="shared" ca="1" si="11"/>
        <v>30</v>
      </c>
      <c r="K14" s="228">
        <f t="shared" ca="1" si="14"/>
        <v>31</v>
      </c>
      <c r="L14" s="229">
        <f t="shared" ca="1" si="15"/>
        <v>31</v>
      </c>
      <c r="M14" s="232"/>
    </row>
    <row r="15" spans="1:24" s="167" customFormat="1" ht="22.5" customHeight="1">
      <c r="A15" s="99"/>
      <c r="B15" s="118"/>
      <c r="C15" s="123" t="s">
        <v>1433</v>
      </c>
      <c r="D15" s="230">
        <v>1</v>
      </c>
      <c r="E15" s="123" t="s">
        <v>1402</v>
      </c>
      <c r="F15" s="230">
        <v>1</v>
      </c>
      <c r="G15" s="123" t="s">
        <v>1403</v>
      </c>
      <c r="H15" s="230">
        <v>1</v>
      </c>
      <c r="I15" s="176">
        <v>2</v>
      </c>
      <c r="J15" s="225">
        <f t="shared" ca="1" si="11"/>
        <v>2</v>
      </c>
      <c r="K15" s="228">
        <f t="shared" ref="K15:K17" ca="1" si="16">((djs(I15,0)+djs(I15,1))*D15)*H15</f>
        <v>2</v>
      </c>
      <c r="L15" s="229">
        <f t="shared" ref="L15:L17" ca="1" si="17">((djs(I15,0)+djs(I15,1))*F15)*H15</f>
        <v>2</v>
      </c>
      <c r="M15" s="232"/>
    </row>
    <row r="16" spans="1:24" s="167" customFormat="1" ht="22.5" customHeight="1">
      <c r="A16" s="99"/>
      <c r="B16" s="118" t="s">
        <v>1436</v>
      </c>
      <c r="C16" s="123" t="s">
        <v>1433</v>
      </c>
      <c r="D16" s="230">
        <v>1</v>
      </c>
      <c r="E16" s="123" t="s">
        <v>1402</v>
      </c>
      <c r="F16" s="230">
        <v>1</v>
      </c>
      <c r="G16" s="123" t="s">
        <v>1400</v>
      </c>
      <c r="H16" s="230">
        <v>1</v>
      </c>
      <c r="I16" s="176" t="s">
        <v>1439</v>
      </c>
      <c r="J16" s="225">
        <f t="shared" ca="1" si="11"/>
        <v>33</v>
      </c>
      <c r="K16" s="228">
        <f t="shared" ca="1" si="16"/>
        <v>34</v>
      </c>
      <c r="L16" s="229">
        <f t="shared" ca="1" si="17"/>
        <v>34</v>
      </c>
      <c r="M16" s="232"/>
    </row>
    <row r="17" spans="1:13" s="167" customFormat="1" ht="22.5" customHeight="1">
      <c r="A17" s="99"/>
      <c r="B17" s="118"/>
      <c r="C17" s="123" t="s">
        <v>1433</v>
      </c>
      <c r="D17" s="230">
        <v>1</v>
      </c>
      <c r="E17" s="123" t="s">
        <v>1402</v>
      </c>
      <c r="F17" s="230">
        <v>1</v>
      </c>
      <c r="G17" s="123" t="s">
        <v>1403</v>
      </c>
      <c r="H17" s="230">
        <v>1</v>
      </c>
      <c r="I17" s="176">
        <v>2</v>
      </c>
      <c r="J17" s="225">
        <f t="shared" ca="1" si="11"/>
        <v>2</v>
      </c>
      <c r="K17" s="228">
        <f t="shared" ca="1" si="16"/>
        <v>2</v>
      </c>
      <c r="L17" s="229">
        <f t="shared" ca="1" si="17"/>
        <v>2</v>
      </c>
      <c r="M17" s="232"/>
    </row>
    <row r="18" spans="1:13" s="167" customFormat="1" ht="22.5" customHeight="1">
      <c r="A18" s="99"/>
      <c r="B18" s="118"/>
      <c r="C18" s="123"/>
      <c r="D18" s="230"/>
      <c r="E18" s="123"/>
      <c r="F18" s="230"/>
      <c r="G18" s="123"/>
      <c r="H18" s="230"/>
      <c r="I18" s="176"/>
      <c r="J18" s="225"/>
      <c r="K18" s="228"/>
      <c r="L18" s="229"/>
      <c r="M18" s="232"/>
    </row>
    <row r="19" spans="1:13" s="167" customFormat="1" ht="22.5" customHeight="1">
      <c r="A19" s="99"/>
      <c r="B19" s="118"/>
      <c r="C19" s="123"/>
      <c r="D19" s="230"/>
      <c r="E19" s="123"/>
      <c r="F19" s="230"/>
      <c r="G19" s="123"/>
      <c r="H19" s="230"/>
      <c r="I19" s="176"/>
      <c r="J19" s="225"/>
      <c r="K19" s="228"/>
      <c r="L19" s="229"/>
      <c r="M19" s="232"/>
    </row>
    <row r="20" spans="1:13" s="167" customFormat="1" ht="22.5" customHeight="1">
      <c r="A20" s="99"/>
      <c r="B20" s="118"/>
      <c r="C20" s="123"/>
      <c r="D20" s="230"/>
      <c r="E20" s="123"/>
      <c r="F20" s="230"/>
      <c r="G20" s="123"/>
      <c r="H20" s="230"/>
      <c r="I20" s="176"/>
      <c r="J20" s="225"/>
      <c r="K20" s="228"/>
      <c r="L20" s="229"/>
      <c r="M20" s="232"/>
    </row>
    <row r="21" spans="1:13" s="167" customFormat="1" ht="22.5" customHeight="1">
      <c r="A21" s="99"/>
      <c r="B21" s="118"/>
      <c r="C21" s="123"/>
      <c r="D21" s="230"/>
      <c r="E21" s="123"/>
      <c r="F21" s="230"/>
      <c r="G21" s="123"/>
      <c r="H21" s="230"/>
      <c r="I21" s="176"/>
      <c r="J21" s="225"/>
      <c r="K21" s="228"/>
      <c r="L21" s="229"/>
      <c r="M21" s="232"/>
    </row>
    <row r="22" spans="1:13" s="167" customFormat="1" ht="22.5" customHeight="1">
      <c r="A22" s="99"/>
      <c r="B22" s="118"/>
      <c r="C22" s="123"/>
      <c r="D22" s="230"/>
      <c r="E22" s="123"/>
      <c r="F22" s="230"/>
      <c r="G22" s="123"/>
      <c r="H22" s="230"/>
      <c r="I22" s="176"/>
      <c r="J22" s="225"/>
      <c r="K22" s="228"/>
      <c r="L22" s="229"/>
      <c r="M22" s="232"/>
    </row>
    <row r="23" spans="1:13" s="167" customFormat="1" ht="22.5" customHeight="1">
      <c r="A23" s="99"/>
      <c r="B23" s="118"/>
      <c r="C23" s="123"/>
      <c r="D23" s="230"/>
      <c r="E23" s="123"/>
      <c r="F23" s="230"/>
      <c r="G23" s="123"/>
      <c r="H23" s="230"/>
      <c r="I23" s="176"/>
      <c r="J23" s="225"/>
      <c r="K23" s="228"/>
      <c r="L23" s="229"/>
      <c r="M23" s="232"/>
    </row>
    <row r="24" spans="1:13" s="167" customFormat="1" ht="22.5" customHeight="1">
      <c r="A24" s="99"/>
      <c r="B24" s="118"/>
      <c r="C24" s="123"/>
      <c r="D24" s="230"/>
      <c r="E24" s="123"/>
      <c r="F24" s="230"/>
      <c r="G24" s="123"/>
      <c r="H24" s="230"/>
      <c r="I24" s="176"/>
      <c r="J24" s="225"/>
      <c r="K24" s="228"/>
      <c r="L24" s="229"/>
      <c r="M24" s="232"/>
    </row>
    <row r="25" spans="1:13" s="167" customFormat="1" ht="22.5" customHeight="1">
      <c r="A25" s="99"/>
      <c r="B25" s="118"/>
      <c r="C25" s="123"/>
      <c r="D25" s="230"/>
      <c r="E25" s="123"/>
      <c r="F25" s="230"/>
      <c r="G25" s="123"/>
      <c r="H25" s="230"/>
      <c r="I25" s="176"/>
      <c r="J25" s="225"/>
      <c r="K25" s="228"/>
      <c r="L25" s="229"/>
      <c r="M25" s="232"/>
    </row>
    <row r="26" spans="1:13" s="167" customFormat="1" ht="22.5" customHeight="1">
      <c r="A26" s="99"/>
      <c r="B26" s="118"/>
      <c r="C26" s="123"/>
      <c r="D26" s="230"/>
      <c r="E26" s="123"/>
      <c r="F26" s="230"/>
      <c r="G26" s="123"/>
      <c r="H26" s="230"/>
      <c r="I26" s="176"/>
      <c r="J26" s="225"/>
      <c r="K26" s="228"/>
      <c r="L26" s="229"/>
      <c r="M26" s="232"/>
    </row>
    <row r="27" spans="1:13" s="167" customFormat="1" ht="22.5" customHeight="1">
      <c r="A27" s="99"/>
      <c r="B27" s="118"/>
      <c r="C27" s="123"/>
      <c r="D27" s="230"/>
      <c r="E27" s="123"/>
      <c r="F27" s="230"/>
      <c r="G27" s="123"/>
      <c r="H27" s="230"/>
      <c r="I27" s="176"/>
      <c r="J27" s="225"/>
      <c r="K27" s="228"/>
      <c r="L27" s="229"/>
      <c r="M27" s="232"/>
    </row>
    <row r="28" spans="1:13" s="167" customFormat="1" ht="22.5" customHeight="1">
      <c r="A28" s="99"/>
      <c r="B28" s="118"/>
      <c r="C28" s="123"/>
      <c r="D28" s="230"/>
      <c r="E28" s="123"/>
      <c r="F28" s="230"/>
      <c r="G28" s="123"/>
      <c r="H28" s="230"/>
      <c r="I28" s="176"/>
      <c r="J28" s="225"/>
      <c r="K28" s="228"/>
      <c r="L28" s="229"/>
      <c r="M28" s="232"/>
    </row>
    <row r="29" spans="1:13" s="167" customFormat="1" ht="22.5" customHeight="1">
      <c r="A29" s="99"/>
      <c r="B29" s="118"/>
      <c r="C29" s="123"/>
      <c r="D29" s="230"/>
      <c r="E29" s="123"/>
      <c r="F29" s="230"/>
      <c r="G29" s="123"/>
      <c r="H29" s="230"/>
      <c r="I29" s="176"/>
      <c r="J29" s="225"/>
      <c r="K29" s="228"/>
      <c r="L29" s="229"/>
      <c r="M29" s="232"/>
    </row>
    <row r="30" spans="1:13" s="167" customFormat="1" ht="22.5" customHeight="1">
      <c r="A30" s="99"/>
      <c r="B30" s="118"/>
      <c r="C30" s="123"/>
      <c r="D30" s="230"/>
      <c r="E30" s="123"/>
      <c r="F30" s="230"/>
      <c r="G30" s="123"/>
      <c r="H30" s="230"/>
      <c r="I30" s="176"/>
      <c r="J30" s="225"/>
      <c r="K30" s="228"/>
      <c r="L30" s="229"/>
      <c r="M30" s="232"/>
    </row>
    <row r="31" spans="1:13" s="167" customFormat="1" ht="22.5" customHeight="1">
      <c r="A31" s="99"/>
      <c r="B31" s="118"/>
      <c r="C31" s="123"/>
      <c r="D31" s="230"/>
      <c r="E31" s="123"/>
      <c r="F31" s="230"/>
      <c r="G31" s="123"/>
      <c r="H31" s="230"/>
      <c r="I31" s="176"/>
      <c r="J31" s="225"/>
      <c r="K31" s="228"/>
      <c r="L31" s="229"/>
      <c r="M31" s="232"/>
    </row>
    <row r="32" spans="1:13" s="167" customFormat="1" ht="22.5" customHeight="1">
      <c r="A32" s="99"/>
      <c r="B32" s="118"/>
      <c r="C32" s="123"/>
      <c r="D32" s="230"/>
      <c r="E32" s="123"/>
      <c r="F32" s="230"/>
      <c r="G32" s="123"/>
      <c r="H32" s="230"/>
      <c r="I32" s="176"/>
      <c r="J32" s="225"/>
      <c r="K32" s="228"/>
      <c r="L32" s="229"/>
      <c r="M32" s="232"/>
    </row>
    <row r="33" spans="1:13" s="167" customFormat="1" ht="22.5" customHeight="1">
      <c r="A33" s="99"/>
      <c r="B33" s="118"/>
      <c r="C33" s="123"/>
      <c r="D33" s="230"/>
      <c r="E33" s="123"/>
      <c r="F33" s="230"/>
      <c r="G33" s="123"/>
      <c r="H33" s="230"/>
      <c r="I33" s="176"/>
      <c r="J33" s="225"/>
      <c r="K33" s="228"/>
      <c r="L33" s="229"/>
      <c r="M33" s="232"/>
    </row>
    <row r="34" spans="1:13" s="167" customFormat="1" ht="22.5" customHeight="1">
      <c r="A34" s="489"/>
      <c r="B34" s="395"/>
      <c r="C34" s="396"/>
      <c r="D34" s="397"/>
      <c r="E34" s="396"/>
      <c r="F34" s="397"/>
      <c r="G34" s="396"/>
      <c r="H34" s="397"/>
      <c r="I34" s="398"/>
      <c r="J34" s="399"/>
      <c r="K34" s="400"/>
      <c r="L34" s="401"/>
      <c r="M34" s="232"/>
    </row>
  </sheetData>
  <mergeCells count="2">
    <mergeCell ref="C2:H2"/>
    <mergeCell ref="K2:L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horizontalDpi="4294967292" verticalDpi="300" r:id="rId1"/>
  <headerFooter alignWithMargins="0">
    <oddHeader>&amp;C&amp;"굴림체,굵게"&amp;14자 료 산 출 근 거 서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indexed="25"/>
  </sheetPr>
  <dimension ref="A1:J20"/>
  <sheetViews>
    <sheetView view="pageBreakPreview" workbookViewId="0">
      <selection activeCell="C15" sqref="C15"/>
    </sheetView>
  </sheetViews>
  <sheetFormatPr defaultRowHeight="11.25"/>
  <cols>
    <col min="1" max="2" width="17.77734375" style="162" customWidth="1"/>
    <col min="3" max="3" width="5.77734375" style="120" customWidth="1"/>
    <col min="4" max="7" width="10.109375" style="162" customWidth="1"/>
    <col min="8" max="8" width="35.77734375" style="162" customWidth="1"/>
    <col min="9" max="9" width="8.77734375" style="162" customWidth="1"/>
    <col min="10" max="10" width="7.88671875" style="162" customWidth="1"/>
    <col min="11" max="12" width="10.33203125" style="162" customWidth="1"/>
    <col min="13" max="16384" width="8.88671875" style="162"/>
  </cols>
  <sheetData>
    <row r="1" spans="1:10" ht="21.95" customHeight="1">
      <c r="A1" s="679" t="s">
        <v>542</v>
      </c>
      <c r="B1" s="679" t="s">
        <v>971</v>
      </c>
      <c r="C1" s="99" t="s">
        <v>972</v>
      </c>
      <c r="D1" s="99" t="s">
        <v>973</v>
      </c>
      <c r="E1" s="99" t="s">
        <v>974</v>
      </c>
      <c r="F1" s="99" t="s">
        <v>539</v>
      </c>
      <c r="G1" s="99" t="s">
        <v>975</v>
      </c>
      <c r="H1" s="99" t="s">
        <v>976</v>
      </c>
      <c r="I1" s="679" t="s">
        <v>977</v>
      </c>
      <c r="J1" s="679" t="s">
        <v>540</v>
      </c>
    </row>
    <row r="2" spans="1:10" ht="21.95" customHeight="1">
      <c r="A2" s="680"/>
      <c r="B2" s="680"/>
      <c r="C2" s="99" t="s">
        <v>978</v>
      </c>
      <c r="D2" s="99" t="s">
        <v>979</v>
      </c>
      <c r="E2" s="99" t="s">
        <v>980</v>
      </c>
      <c r="F2" s="99" t="s">
        <v>981</v>
      </c>
      <c r="G2" s="99" t="s">
        <v>982</v>
      </c>
      <c r="H2" s="99" t="s">
        <v>983</v>
      </c>
      <c r="I2" s="680"/>
      <c r="J2" s="680"/>
    </row>
    <row r="3" spans="1:10" ht="21.95" customHeight="1">
      <c r="A3" s="486" t="s">
        <v>984</v>
      </c>
      <c r="B3" s="487"/>
      <c r="C3" s="99"/>
      <c r="D3" s="99"/>
      <c r="E3" s="99"/>
      <c r="F3" s="99"/>
      <c r="G3" s="99"/>
      <c r="H3" s="99"/>
      <c r="I3" s="487"/>
      <c r="J3" s="487"/>
    </row>
    <row r="4" spans="1:10" ht="21.95" customHeight="1">
      <c r="A4" s="123" t="s">
        <v>1457</v>
      </c>
      <c r="B4" s="123" t="s">
        <v>1386</v>
      </c>
      <c r="C4" s="99">
        <v>1</v>
      </c>
      <c r="D4" s="112">
        <v>4</v>
      </c>
      <c r="E4" s="112">
        <f t="shared" ref="E4:E9" si="0">D4*C4</f>
        <v>4</v>
      </c>
      <c r="F4" s="112">
        <v>8900</v>
      </c>
      <c r="G4" s="112">
        <f ca="1">'10.가설'!H21</f>
        <v>93</v>
      </c>
      <c r="H4" s="176" t="str">
        <f t="shared" ref="H4:H9" ca="1" si="1">CONCATENATE("(",E4,"÷1000000) x ",F4," x ",G4," = ")</f>
        <v xml:space="preserve">(4÷1000000) x 8900 x 93 = </v>
      </c>
      <c r="I4" s="176">
        <f t="shared" ref="I4:I9" ca="1" si="2">ROUNDDOWN((E4/1000000)*F4*G4,2)</f>
        <v>3.31</v>
      </c>
      <c r="J4" s="112"/>
    </row>
    <row r="5" spans="1:10" ht="21.95" customHeight="1">
      <c r="A5" s="123" t="s">
        <v>1457</v>
      </c>
      <c r="B5" s="123" t="s">
        <v>582</v>
      </c>
      <c r="C5" s="99">
        <v>1</v>
      </c>
      <c r="D5" s="112">
        <v>6</v>
      </c>
      <c r="E5" s="112">
        <f t="shared" si="0"/>
        <v>6</v>
      </c>
      <c r="F5" s="112">
        <v>8900</v>
      </c>
      <c r="G5" s="112">
        <f ca="1">'10.가설'!H22</f>
        <v>82.5</v>
      </c>
      <c r="H5" s="176" t="str">
        <f t="shared" ca="1" si="1"/>
        <v xml:space="preserve">(6÷1000000) x 8900 x 82.5 = </v>
      </c>
      <c r="I5" s="176">
        <f t="shared" ca="1" si="2"/>
        <v>4.4000000000000004</v>
      </c>
      <c r="J5" s="112"/>
    </row>
    <row r="6" spans="1:10" ht="21.95" customHeight="1">
      <c r="A6" s="123" t="s">
        <v>1457</v>
      </c>
      <c r="B6" s="123" t="s">
        <v>381</v>
      </c>
      <c r="C6" s="99">
        <v>1</v>
      </c>
      <c r="D6" s="112">
        <v>16</v>
      </c>
      <c r="E6" s="112">
        <f t="shared" si="0"/>
        <v>16</v>
      </c>
      <c r="F6" s="112">
        <v>8900</v>
      </c>
      <c r="G6" s="112">
        <f ca="1">'10.가설'!H23</f>
        <v>105.3</v>
      </c>
      <c r="H6" s="176" t="str">
        <f t="shared" ca="1" si="1"/>
        <v xml:space="preserve">(16÷1000000) x 8900 x 105.3 = </v>
      </c>
      <c r="I6" s="176">
        <f t="shared" ca="1" si="2"/>
        <v>14.99</v>
      </c>
      <c r="J6" s="112"/>
    </row>
    <row r="7" spans="1:10" ht="21.95" customHeight="1">
      <c r="A7" s="123" t="s">
        <v>1458</v>
      </c>
      <c r="B7" s="123" t="s">
        <v>1043</v>
      </c>
      <c r="C7" s="99">
        <v>2</v>
      </c>
      <c r="D7" s="112">
        <v>6</v>
      </c>
      <c r="E7" s="112">
        <f t="shared" si="0"/>
        <v>12</v>
      </c>
      <c r="F7" s="112">
        <v>8900</v>
      </c>
      <c r="G7" s="112">
        <f ca="1">'10.가설'!H24</f>
        <v>82.5</v>
      </c>
      <c r="H7" s="176" t="str">
        <f t="shared" ca="1" si="1"/>
        <v xml:space="preserve">(12÷1000000) x 8900 x 82.5 = </v>
      </c>
      <c r="I7" s="176">
        <f t="shared" ca="1" si="2"/>
        <v>8.81</v>
      </c>
      <c r="J7" s="112"/>
    </row>
    <row r="8" spans="1:10" ht="21.95" customHeight="1">
      <c r="A8" s="123" t="s">
        <v>1458</v>
      </c>
      <c r="B8" s="123" t="s">
        <v>1433</v>
      </c>
      <c r="C8" s="99">
        <v>4</v>
      </c>
      <c r="D8" s="112">
        <v>4</v>
      </c>
      <c r="E8" s="112">
        <f t="shared" si="0"/>
        <v>16</v>
      </c>
      <c r="F8" s="112">
        <v>8900</v>
      </c>
      <c r="G8" s="112">
        <f ca="1">'10.가설'!H25</f>
        <v>93</v>
      </c>
      <c r="H8" s="176" t="str">
        <f t="shared" ca="1" si="1"/>
        <v xml:space="preserve">(16÷1000000) x 8900 x 93 = </v>
      </c>
      <c r="I8" s="176">
        <f t="shared" ca="1" si="2"/>
        <v>13.24</v>
      </c>
      <c r="J8" s="112"/>
    </row>
    <row r="9" spans="1:10" ht="21.95" customHeight="1">
      <c r="A9" s="123" t="s">
        <v>1458</v>
      </c>
      <c r="B9" s="123" t="s">
        <v>1408</v>
      </c>
      <c r="C9" s="99">
        <v>4</v>
      </c>
      <c r="D9" s="112">
        <v>16</v>
      </c>
      <c r="E9" s="112">
        <f t="shared" si="0"/>
        <v>64</v>
      </c>
      <c r="F9" s="112">
        <v>8900</v>
      </c>
      <c r="G9" s="112">
        <f ca="1">'10.가설'!H26</f>
        <v>105.3</v>
      </c>
      <c r="H9" s="176" t="str">
        <f t="shared" ca="1" si="1"/>
        <v xml:space="preserve">(64÷1000000) x 8900 x 105.3 = </v>
      </c>
      <c r="I9" s="176">
        <f t="shared" ca="1" si="2"/>
        <v>59.97</v>
      </c>
      <c r="J9" s="112"/>
    </row>
    <row r="10" spans="1:10" ht="21.95" customHeight="1">
      <c r="A10" s="112"/>
      <c r="B10" s="112"/>
      <c r="C10" s="99"/>
      <c r="D10" s="112"/>
      <c r="E10" s="112"/>
      <c r="F10" s="112"/>
      <c r="G10" s="112"/>
      <c r="H10" s="176"/>
      <c r="I10" s="176"/>
      <c r="J10" s="112"/>
    </row>
    <row r="11" spans="1:10" ht="21.95" customHeight="1">
      <c r="A11" s="379" t="s">
        <v>541</v>
      </c>
      <c r="B11" s="112"/>
      <c r="C11" s="99"/>
      <c r="D11" s="112"/>
      <c r="E11" s="112"/>
      <c r="F11" s="112"/>
      <c r="G11" s="112"/>
      <c r="H11" s="112"/>
      <c r="I11" s="488">
        <f ca="1">SUM(I4:I10)</f>
        <v>104.72</v>
      </c>
      <c r="J11" s="112"/>
    </row>
    <row r="12" spans="1:10" ht="21.95" customHeight="1">
      <c r="A12" s="112"/>
      <c r="B12" s="112"/>
      <c r="C12" s="99"/>
      <c r="D12" s="112"/>
      <c r="E12" s="112"/>
      <c r="F12" s="112"/>
      <c r="G12" s="112"/>
      <c r="H12" s="176"/>
      <c r="I12" s="176"/>
      <c r="J12" s="112"/>
    </row>
    <row r="13" spans="1:10" ht="21.95" customHeight="1">
      <c r="A13" s="486"/>
      <c r="B13" s="112"/>
      <c r="C13" s="99"/>
      <c r="D13" s="112"/>
      <c r="E13" s="112"/>
      <c r="F13" s="112"/>
      <c r="G13" s="112"/>
      <c r="H13" s="176"/>
      <c r="I13" s="176"/>
      <c r="J13" s="112"/>
    </row>
    <row r="14" spans="1:10" ht="21.95" customHeight="1">
      <c r="A14" s="112"/>
      <c r="B14" s="112"/>
      <c r="C14" s="99"/>
      <c r="D14" s="112"/>
      <c r="E14" s="112"/>
      <c r="F14" s="112"/>
      <c r="G14" s="112"/>
      <c r="H14" s="176"/>
      <c r="I14" s="176"/>
      <c r="J14" s="112"/>
    </row>
    <row r="15" spans="1:10" ht="21.95" customHeight="1">
      <c r="A15" s="112"/>
      <c r="B15" s="112"/>
      <c r="C15" s="99"/>
      <c r="D15" s="112"/>
      <c r="E15" s="112"/>
      <c r="F15" s="112"/>
      <c r="G15" s="112"/>
      <c r="H15" s="176"/>
      <c r="I15" s="176"/>
      <c r="J15" s="112"/>
    </row>
    <row r="16" spans="1:10" ht="21.95" customHeight="1">
      <c r="A16" s="379"/>
      <c r="B16" s="112"/>
      <c r="C16" s="99"/>
      <c r="D16" s="112"/>
      <c r="E16" s="112"/>
      <c r="F16" s="112"/>
      <c r="G16" s="112"/>
      <c r="H16" s="112"/>
      <c r="I16" s="488"/>
      <c r="J16" s="112"/>
    </row>
    <row r="17" spans="1:10" ht="21.95" customHeight="1">
      <c r="A17" s="112"/>
      <c r="B17" s="112"/>
      <c r="C17" s="99"/>
      <c r="D17" s="112"/>
      <c r="E17" s="112"/>
      <c r="F17" s="112"/>
      <c r="G17" s="112"/>
      <c r="H17" s="176"/>
      <c r="I17" s="176"/>
      <c r="J17" s="112"/>
    </row>
    <row r="18" spans="1:10" ht="21.95" customHeight="1">
      <c r="A18" s="112"/>
      <c r="B18" s="112"/>
      <c r="C18" s="99"/>
      <c r="D18" s="112"/>
      <c r="E18" s="112"/>
      <c r="F18" s="112"/>
      <c r="G18" s="112"/>
      <c r="H18" s="176"/>
      <c r="I18" s="176"/>
      <c r="J18" s="112"/>
    </row>
    <row r="19" spans="1:10" ht="21.95" customHeight="1">
      <c r="A19" s="112"/>
      <c r="B19" s="112"/>
      <c r="C19" s="99"/>
      <c r="D19" s="112"/>
      <c r="E19" s="112"/>
      <c r="F19" s="112"/>
      <c r="G19" s="112"/>
      <c r="H19" s="176"/>
      <c r="I19" s="176"/>
      <c r="J19" s="112"/>
    </row>
    <row r="20" spans="1:10" ht="21.95" customHeight="1">
      <c r="A20" s="112"/>
      <c r="B20" s="112"/>
      <c r="C20" s="99"/>
      <c r="D20" s="112"/>
      <c r="E20" s="112"/>
      <c r="F20" s="112"/>
      <c r="G20" s="112"/>
      <c r="H20" s="176"/>
      <c r="I20" s="176"/>
      <c r="J20" s="112"/>
    </row>
  </sheetData>
  <mergeCells count="4">
    <mergeCell ref="A1:A2"/>
    <mergeCell ref="B1:B2"/>
    <mergeCell ref="I1:I2"/>
    <mergeCell ref="J1:J2"/>
  </mergeCells>
  <phoneticPr fontId="4" type="noConversion"/>
  <pageMargins left="0.86614173228346458" right="0.47244094488188981" top="0.78740157480314965" bottom="0.47244094488188981" header="0.47244094488188981" footer="0"/>
  <pageSetup paperSize="9" scale="85" orientation="landscape" r:id="rId1"/>
  <headerFooter alignWithMargins="0">
    <oddHeader>&amp;C&amp;"굴림체,굵게"&amp;14작 업 부 산 물 산 출 서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M20"/>
  <sheetViews>
    <sheetView showZeros="0" view="pageBreakPreview" workbookViewId="0">
      <selection activeCell="K22" sqref="K22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378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54">
    <tabColor rgb="FFFFFF00"/>
  </sheetPr>
  <dimension ref="A1:AH658"/>
  <sheetViews>
    <sheetView showZeros="0" view="pageBreakPreview" zoomScale="115" zoomScaleSheetLayoutView="115" workbookViewId="0">
      <pane xSplit="4" ySplit="2" topLeftCell="E355" activePane="bottomRight" state="frozen"/>
      <selection activeCell="H20" sqref="H20"/>
      <selection pane="topRight" activeCell="H20" sqref="H20"/>
      <selection pane="bottomLeft" activeCell="H20" sqref="H20"/>
      <selection pane="bottomRight" activeCell="G437" sqref="G437"/>
    </sheetView>
  </sheetViews>
  <sheetFormatPr defaultRowHeight="21" customHeight="1"/>
  <cols>
    <col min="1" max="2" width="19.77734375" style="113" customWidth="1"/>
    <col min="3" max="3" width="5.44140625" style="113" hidden="1" customWidth="1"/>
    <col min="4" max="4" width="4.77734375" style="114" customWidth="1"/>
    <col min="5" max="5" width="9.77734375" style="35" customWidth="1"/>
    <col min="6" max="6" width="6.6640625" style="114" customWidth="1"/>
    <col min="7" max="7" width="9.77734375" style="36" customWidth="1"/>
    <col min="8" max="8" width="6.33203125" style="191" customWidth="1"/>
    <col min="9" max="9" width="9.77734375" style="35" customWidth="1"/>
    <col min="10" max="10" width="6.5546875" style="188" customWidth="1"/>
    <col min="11" max="12" width="9.77734375" style="35" customWidth="1"/>
    <col min="13" max="15" width="9.77734375" style="37" customWidth="1"/>
    <col min="16" max="23" width="8.77734375" style="113" customWidth="1"/>
    <col min="24" max="24" width="8.88671875" style="130"/>
    <col min="25" max="28" width="8.88671875" style="127"/>
    <col min="29" max="16384" width="8.88671875" style="113"/>
  </cols>
  <sheetData>
    <row r="1" spans="1:28" s="111" customFormat="1" ht="21.95" customHeight="1">
      <c r="A1" s="616" t="s">
        <v>321</v>
      </c>
      <c r="B1" s="616" t="s">
        <v>283</v>
      </c>
      <c r="C1" s="99"/>
      <c r="D1" s="616" t="s">
        <v>284</v>
      </c>
      <c r="E1" s="629" t="s">
        <v>322</v>
      </c>
      <c r="F1" s="681" t="s">
        <v>323</v>
      </c>
      <c r="G1" s="681"/>
      <c r="H1" s="681" t="s">
        <v>306</v>
      </c>
      <c r="I1" s="681"/>
      <c r="J1" s="681" t="s">
        <v>320</v>
      </c>
      <c r="K1" s="681"/>
      <c r="L1" s="402" t="s">
        <v>324</v>
      </c>
      <c r="M1" s="492" t="s">
        <v>336</v>
      </c>
      <c r="N1" s="492" t="s">
        <v>1285</v>
      </c>
      <c r="O1" s="681" t="s">
        <v>325</v>
      </c>
      <c r="P1" s="124" t="s">
        <v>326</v>
      </c>
      <c r="Q1" s="124" t="s">
        <v>334</v>
      </c>
      <c r="R1" s="125" t="s">
        <v>327</v>
      </c>
      <c r="S1" s="125" t="s">
        <v>328</v>
      </c>
      <c r="T1" s="125" t="s">
        <v>335</v>
      </c>
      <c r="U1" s="125" t="s">
        <v>329</v>
      </c>
      <c r="V1" s="125" t="s">
        <v>330</v>
      </c>
      <c r="W1" s="125" t="s">
        <v>319</v>
      </c>
      <c r="X1" s="129"/>
      <c r="Y1" s="128"/>
      <c r="Z1" s="128"/>
      <c r="AA1" s="128"/>
      <c r="AB1" s="128"/>
    </row>
    <row r="2" spans="1:28" s="111" customFormat="1" ht="21.95" customHeight="1">
      <c r="A2" s="682"/>
      <c r="B2" s="682"/>
      <c r="C2" s="112"/>
      <c r="D2" s="616"/>
      <c r="E2" s="683"/>
      <c r="F2" s="99" t="s">
        <v>331</v>
      </c>
      <c r="G2" s="471" t="s">
        <v>332</v>
      </c>
      <c r="H2" s="164" t="s">
        <v>331</v>
      </c>
      <c r="I2" s="402" t="s">
        <v>332</v>
      </c>
      <c r="J2" s="186" t="s">
        <v>331</v>
      </c>
      <c r="K2" s="402" t="s">
        <v>332</v>
      </c>
      <c r="L2" s="402" t="s">
        <v>332</v>
      </c>
      <c r="M2" s="492" t="s">
        <v>332</v>
      </c>
      <c r="N2" s="492" t="s">
        <v>332</v>
      </c>
      <c r="O2" s="681"/>
      <c r="P2" s="124" t="s">
        <v>333</v>
      </c>
      <c r="Q2" s="124" t="s">
        <v>333</v>
      </c>
      <c r="R2" s="124" t="s">
        <v>333</v>
      </c>
      <c r="S2" s="124" t="s">
        <v>333</v>
      </c>
      <c r="T2" s="124" t="s">
        <v>333</v>
      </c>
      <c r="U2" s="124" t="s">
        <v>333</v>
      </c>
      <c r="V2" s="124" t="s">
        <v>333</v>
      </c>
      <c r="W2" s="124" t="s">
        <v>333</v>
      </c>
      <c r="X2" s="129"/>
      <c r="Y2" s="128"/>
      <c r="Z2" s="128"/>
      <c r="AA2" s="128"/>
      <c r="AB2" s="128"/>
    </row>
    <row r="3" spans="1:28" s="128" customFormat="1" ht="21.95" hidden="1" customHeight="1">
      <c r="A3" s="110" t="s">
        <v>384</v>
      </c>
      <c r="B3" s="110" t="s">
        <v>406</v>
      </c>
      <c r="C3" s="110" t="str">
        <f t="shared" ref="C3:C31" si="0">A3&amp;B3</f>
        <v>경질비닐전선관HI 16C</v>
      </c>
      <c r="D3" s="99" t="s">
        <v>407</v>
      </c>
      <c r="E3" s="475">
        <f t="shared" ref="E3:E47" si="1">MIN(G3,I3,K3,L3,M3)</f>
        <v>257</v>
      </c>
      <c r="F3" s="21"/>
      <c r="G3" s="475">
        <v>257</v>
      </c>
      <c r="H3" s="23">
        <v>1113</v>
      </c>
      <c r="I3" s="475">
        <v>347</v>
      </c>
      <c r="J3" s="24" t="s">
        <v>1309</v>
      </c>
      <c r="K3" s="475">
        <v>348</v>
      </c>
      <c r="L3" s="475"/>
      <c r="M3" s="23"/>
      <c r="N3" s="23"/>
      <c r="O3" s="23"/>
      <c r="P3" s="25"/>
      <c r="Q3" s="25"/>
      <c r="R3" s="25"/>
      <c r="S3" s="25"/>
      <c r="T3" s="25"/>
      <c r="U3" s="25"/>
      <c r="V3" s="25"/>
      <c r="W3" s="25"/>
      <c r="X3" s="118" t="s">
        <v>340</v>
      </c>
      <c r="Y3" s="127"/>
    </row>
    <row r="4" spans="1:28" s="128" customFormat="1" ht="21.95" hidden="1" customHeight="1">
      <c r="A4" s="110" t="s">
        <v>384</v>
      </c>
      <c r="B4" s="110" t="s">
        <v>408</v>
      </c>
      <c r="C4" s="110" t="str">
        <f t="shared" si="0"/>
        <v>경질비닐전선관HI 22C</v>
      </c>
      <c r="D4" s="99" t="s">
        <v>407</v>
      </c>
      <c r="E4" s="475">
        <f t="shared" si="1"/>
        <v>307</v>
      </c>
      <c r="F4" s="21"/>
      <c r="G4" s="475">
        <v>307</v>
      </c>
      <c r="H4" s="23">
        <v>1113</v>
      </c>
      <c r="I4" s="475">
        <v>435</v>
      </c>
      <c r="J4" s="24" t="s">
        <v>1328</v>
      </c>
      <c r="K4" s="475">
        <v>418</v>
      </c>
      <c r="L4" s="475"/>
      <c r="M4" s="23"/>
      <c r="N4" s="23"/>
      <c r="O4" s="23"/>
      <c r="P4" s="25"/>
      <c r="Q4" s="25"/>
      <c r="R4" s="25"/>
      <c r="S4" s="25"/>
      <c r="T4" s="25"/>
      <c r="U4" s="25"/>
      <c r="V4" s="25"/>
      <c r="W4" s="25"/>
      <c r="X4" s="118" t="s">
        <v>340</v>
      </c>
      <c r="Y4" s="127"/>
    </row>
    <row r="5" spans="1:28" s="111" customFormat="1" ht="21.95" hidden="1" customHeight="1">
      <c r="A5" s="110" t="s">
        <v>384</v>
      </c>
      <c r="B5" s="110" t="s">
        <v>409</v>
      </c>
      <c r="C5" s="110" t="str">
        <f t="shared" si="0"/>
        <v>경질비닐전선관HI 28C</v>
      </c>
      <c r="D5" s="99" t="s">
        <v>407</v>
      </c>
      <c r="E5" s="475">
        <f t="shared" si="1"/>
        <v>606</v>
      </c>
      <c r="F5" s="21"/>
      <c r="G5" s="475">
        <v>606</v>
      </c>
      <c r="H5" s="23">
        <v>1113</v>
      </c>
      <c r="I5" s="475">
        <v>842</v>
      </c>
      <c r="J5" s="24" t="s">
        <v>1310</v>
      </c>
      <c r="K5" s="475">
        <v>809</v>
      </c>
      <c r="L5" s="475"/>
      <c r="M5" s="23"/>
      <c r="N5" s="23"/>
      <c r="O5" s="23"/>
      <c r="P5" s="25"/>
      <c r="Q5" s="25">
        <v>3.9600000000000003E-2</v>
      </c>
      <c r="R5" s="25"/>
      <c r="S5" s="25"/>
      <c r="T5" s="25"/>
      <c r="U5" s="25"/>
      <c r="V5" s="25"/>
      <c r="W5" s="25"/>
      <c r="X5" s="118" t="s">
        <v>340</v>
      </c>
      <c r="Y5" s="132"/>
      <c r="Z5" s="128"/>
      <c r="AA5" s="128"/>
      <c r="AB5" s="128"/>
    </row>
    <row r="6" spans="1:28" s="111" customFormat="1" ht="21.95" hidden="1" customHeight="1">
      <c r="A6" s="110" t="s">
        <v>384</v>
      </c>
      <c r="B6" s="110" t="s">
        <v>410</v>
      </c>
      <c r="C6" s="110" t="str">
        <f t="shared" si="0"/>
        <v>경질비닐전선관HI 36C</v>
      </c>
      <c r="D6" s="99" t="s">
        <v>407</v>
      </c>
      <c r="E6" s="475">
        <f t="shared" si="1"/>
        <v>764</v>
      </c>
      <c r="F6" s="21"/>
      <c r="G6" s="475">
        <v>764</v>
      </c>
      <c r="H6" s="23">
        <v>1113</v>
      </c>
      <c r="I6" s="475">
        <v>1199</v>
      </c>
      <c r="J6" s="24">
        <v>1233</v>
      </c>
      <c r="K6" s="475">
        <v>1086</v>
      </c>
      <c r="L6" s="475"/>
      <c r="M6" s="23"/>
      <c r="N6" s="23"/>
      <c r="O6" s="23"/>
      <c r="P6" s="25"/>
      <c r="Q6" s="25">
        <v>6.4799999999999996E-2</v>
      </c>
      <c r="R6" s="25"/>
      <c r="S6" s="25"/>
      <c r="T6" s="25"/>
      <c r="U6" s="25"/>
      <c r="V6" s="25"/>
      <c r="W6" s="25"/>
      <c r="X6" s="118" t="s">
        <v>340</v>
      </c>
      <c r="Y6" s="128"/>
      <c r="Z6" s="128"/>
      <c r="AA6" s="128"/>
      <c r="AB6" s="128"/>
    </row>
    <row r="7" spans="1:28" s="111" customFormat="1" ht="21.95" hidden="1" customHeight="1">
      <c r="A7" s="110" t="s">
        <v>384</v>
      </c>
      <c r="B7" s="110" t="s">
        <v>411</v>
      </c>
      <c r="C7" s="110" t="str">
        <f t="shared" si="0"/>
        <v>경질비닐전선관HI 42C</v>
      </c>
      <c r="D7" s="99" t="s">
        <v>407</v>
      </c>
      <c r="E7" s="475">
        <f t="shared" si="1"/>
        <v>900</v>
      </c>
      <c r="F7" s="21"/>
      <c r="G7" s="475">
        <v>900</v>
      </c>
      <c r="H7" s="23">
        <v>1113</v>
      </c>
      <c r="I7" s="475">
        <v>1568</v>
      </c>
      <c r="J7" s="24">
        <v>1233</v>
      </c>
      <c r="K7" s="475">
        <v>1418</v>
      </c>
      <c r="L7" s="475"/>
      <c r="M7" s="23"/>
      <c r="N7" s="23"/>
      <c r="O7" s="23"/>
      <c r="P7" s="25"/>
      <c r="Q7" s="25">
        <v>9.3600000000000003E-2</v>
      </c>
      <c r="R7" s="25"/>
      <c r="S7" s="25"/>
      <c r="T7" s="25"/>
      <c r="U7" s="25"/>
      <c r="V7" s="25"/>
      <c r="W7" s="25"/>
      <c r="X7" s="118" t="s">
        <v>340</v>
      </c>
      <c r="Y7" s="128"/>
      <c r="Z7" s="128"/>
      <c r="AA7" s="128"/>
      <c r="AB7" s="128"/>
    </row>
    <row r="8" spans="1:28" s="162" customFormat="1" ht="21.95" hidden="1" customHeight="1">
      <c r="A8" s="110" t="s">
        <v>384</v>
      </c>
      <c r="B8" s="110" t="s">
        <v>412</v>
      </c>
      <c r="C8" s="110" t="str">
        <f t="shared" si="0"/>
        <v>경질비닐전선관HI 54C</v>
      </c>
      <c r="D8" s="99" t="s">
        <v>407</v>
      </c>
      <c r="E8" s="475">
        <f t="shared" si="1"/>
        <v>1425</v>
      </c>
      <c r="F8" s="402"/>
      <c r="G8" s="475">
        <v>1425</v>
      </c>
      <c r="H8" s="23">
        <v>1113</v>
      </c>
      <c r="I8" s="475">
        <v>2222</v>
      </c>
      <c r="J8" s="24">
        <v>1233</v>
      </c>
      <c r="K8" s="475">
        <v>2014</v>
      </c>
      <c r="L8" s="475"/>
      <c r="M8" s="475"/>
      <c r="N8" s="475"/>
      <c r="O8" s="23"/>
      <c r="P8" s="25"/>
      <c r="Q8" s="25">
        <v>6.0000000000000001E-3</v>
      </c>
      <c r="R8" s="25"/>
      <c r="S8" s="25"/>
      <c r="T8" s="25"/>
      <c r="U8" s="25"/>
      <c r="V8" s="25"/>
      <c r="W8" s="25"/>
      <c r="X8" s="118" t="s">
        <v>340</v>
      </c>
      <c r="Y8" s="127"/>
      <c r="Z8" s="127"/>
      <c r="AA8" s="127"/>
      <c r="AB8" s="127"/>
    </row>
    <row r="9" spans="1:28" s="115" customFormat="1" ht="21.95" hidden="1" customHeight="1">
      <c r="A9" s="110" t="s">
        <v>384</v>
      </c>
      <c r="B9" s="110" t="s">
        <v>385</v>
      </c>
      <c r="C9" s="110" t="str">
        <f t="shared" si="0"/>
        <v>경질비닐전선관HI 70C</v>
      </c>
      <c r="D9" s="99" t="s">
        <v>407</v>
      </c>
      <c r="E9" s="475">
        <f t="shared" si="1"/>
        <v>1873</v>
      </c>
      <c r="F9" s="402"/>
      <c r="G9" s="475">
        <v>1873</v>
      </c>
      <c r="H9" s="23">
        <v>1113</v>
      </c>
      <c r="I9" s="475">
        <v>2860</v>
      </c>
      <c r="J9" s="24">
        <v>1233</v>
      </c>
      <c r="K9" s="475">
        <v>2492</v>
      </c>
      <c r="L9" s="475"/>
      <c r="M9" s="23"/>
      <c r="N9" s="23"/>
      <c r="O9" s="23"/>
      <c r="P9" s="25"/>
      <c r="Q9" s="25">
        <v>8.9999999999999993E-3</v>
      </c>
      <c r="R9" s="25"/>
      <c r="S9" s="25"/>
      <c r="T9" s="25"/>
      <c r="U9" s="25"/>
      <c r="V9" s="25"/>
      <c r="W9" s="25"/>
      <c r="X9" s="118" t="s">
        <v>340</v>
      </c>
      <c r="Y9" s="162"/>
      <c r="Z9" s="162"/>
      <c r="AA9" s="162"/>
      <c r="AB9" s="162"/>
    </row>
    <row r="10" spans="1:28" s="115" customFormat="1" ht="21.95" hidden="1" customHeight="1">
      <c r="A10" s="110" t="s">
        <v>384</v>
      </c>
      <c r="B10" s="110" t="s">
        <v>413</v>
      </c>
      <c r="C10" s="110" t="str">
        <f t="shared" si="0"/>
        <v>경질비닐전선관HI 82C</v>
      </c>
      <c r="D10" s="99" t="s">
        <v>407</v>
      </c>
      <c r="E10" s="475">
        <f t="shared" si="1"/>
        <v>3127</v>
      </c>
      <c r="F10" s="402"/>
      <c r="G10" s="475">
        <v>3127</v>
      </c>
      <c r="H10" s="23">
        <v>1111</v>
      </c>
      <c r="I10" s="475">
        <v>4263</v>
      </c>
      <c r="J10" s="24" t="s">
        <v>1309</v>
      </c>
      <c r="K10" s="475">
        <v>3950</v>
      </c>
      <c r="L10" s="475"/>
      <c r="M10" s="23"/>
      <c r="N10" s="23"/>
      <c r="O10" s="23"/>
      <c r="P10" s="25"/>
      <c r="Q10" s="25">
        <v>8.9999999999999993E-3</v>
      </c>
      <c r="R10" s="25"/>
      <c r="S10" s="25"/>
      <c r="T10" s="25"/>
      <c r="U10" s="25"/>
      <c r="V10" s="25"/>
      <c r="W10" s="25"/>
      <c r="X10" s="118" t="s">
        <v>340</v>
      </c>
      <c r="Y10" s="162"/>
      <c r="Z10" s="162"/>
      <c r="AA10" s="162"/>
      <c r="AB10" s="162"/>
    </row>
    <row r="11" spans="1:28" s="115" customFormat="1" ht="21.95" hidden="1" customHeight="1">
      <c r="A11" s="110" t="s">
        <v>384</v>
      </c>
      <c r="B11" s="110" t="s">
        <v>414</v>
      </c>
      <c r="C11" s="110" t="str">
        <f t="shared" si="0"/>
        <v>경질비닐전선관HI 104C</v>
      </c>
      <c r="D11" s="99" t="s">
        <v>407</v>
      </c>
      <c r="E11" s="475">
        <f t="shared" si="1"/>
        <v>3445</v>
      </c>
      <c r="F11" s="402"/>
      <c r="G11" s="475">
        <v>3445</v>
      </c>
      <c r="H11" s="23">
        <v>1113</v>
      </c>
      <c r="I11" s="475">
        <v>4950</v>
      </c>
      <c r="J11" s="24" t="s">
        <v>1310</v>
      </c>
      <c r="K11" s="475">
        <v>4674</v>
      </c>
      <c r="L11" s="475"/>
      <c r="M11" s="23"/>
      <c r="N11" s="23"/>
      <c r="O11" s="23"/>
      <c r="P11" s="25"/>
      <c r="Q11" s="25">
        <v>1.0500000000000001E-2</v>
      </c>
      <c r="R11" s="25"/>
      <c r="S11" s="25"/>
      <c r="T11" s="25"/>
      <c r="U11" s="25"/>
      <c r="V11" s="25"/>
      <c r="W11" s="25"/>
      <c r="X11" s="118" t="s">
        <v>340</v>
      </c>
      <c r="Y11" s="162"/>
      <c r="Z11" s="162"/>
      <c r="AA11" s="162"/>
      <c r="AB11" s="162"/>
    </row>
    <row r="12" spans="1:28" s="162" customFormat="1" ht="21.95" hidden="1" customHeight="1">
      <c r="A12" s="110" t="s">
        <v>586</v>
      </c>
      <c r="B12" s="110" t="s">
        <v>736</v>
      </c>
      <c r="C12" s="110" t="str">
        <f>A12&amp;B12</f>
        <v>폴리에틸렌전선관PE 16C</v>
      </c>
      <c r="D12" s="99" t="s">
        <v>407</v>
      </c>
      <c r="E12" s="475">
        <f t="shared" si="1"/>
        <v>196</v>
      </c>
      <c r="F12" s="402"/>
      <c r="G12" s="475">
        <v>196</v>
      </c>
      <c r="H12" s="23">
        <v>1111</v>
      </c>
      <c r="I12" s="475">
        <v>265</v>
      </c>
      <c r="J12" s="24" t="s">
        <v>1141</v>
      </c>
      <c r="K12" s="475">
        <v>318</v>
      </c>
      <c r="L12" s="475"/>
      <c r="M12" s="23"/>
      <c r="N12" s="23"/>
      <c r="O12" s="23"/>
      <c r="P12" s="25"/>
      <c r="Q12" s="25"/>
      <c r="R12" s="25"/>
      <c r="S12" s="25"/>
      <c r="T12" s="25"/>
      <c r="U12" s="25"/>
      <c r="V12" s="25"/>
      <c r="W12" s="25"/>
      <c r="X12" s="118"/>
    </row>
    <row r="13" spans="1:28" s="162" customFormat="1" ht="21.95" hidden="1" customHeight="1">
      <c r="A13" s="110" t="s">
        <v>586</v>
      </c>
      <c r="B13" s="110" t="s">
        <v>737</v>
      </c>
      <c r="C13" s="110" t="str">
        <f>A13&amp;B13</f>
        <v>폴리에틸렌전선관PE 22C</v>
      </c>
      <c r="D13" s="99" t="s">
        <v>407</v>
      </c>
      <c r="E13" s="475">
        <f t="shared" si="1"/>
        <v>264</v>
      </c>
      <c r="F13" s="402"/>
      <c r="G13" s="475">
        <v>264</v>
      </c>
      <c r="H13" s="23">
        <v>1110</v>
      </c>
      <c r="I13" s="475">
        <v>333</v>
      </c>
      <c r="J13" s="24">
        <v>1234</v>
      </c>
      <c r="K13" s="475">
        <v>370</v>
      </c>
      <c r="L13" s="475"/>
      <c r="M13" s="23"/>
      <c r="N13" s="23"/>
      <c r="O13" s="23"/>
      <c r="P13" s="25"/>
      <c r="Q13" s="25"/>
      <c r="R13" s="25"/>
      <c r="S13" s="25"/>
      <c r="T13" s="25"/>
      <c r="U13" s="25"/>
      <c r="V13" s="25"/>
      <c r="W13" s="25"/>
      <c r="X13" s="118"/>
    </row>
    <row r="14" spans="1:28" s="162" customFormat="1" ht="21.95" hidden="1" customHeight="1">
      <c r="A14" s="110" t="s">
        <v>586</v>
      </c>
      <c r="B14" s="110" t="s">
        <v>606</v>
      </c>
      <c r="C14" s="110" t="str">
        <f t="shared" si="0"/>
        <v>폴리에틸렌전선관PE 28C</v>
      </c>
      <c r="D14" s="99" t="s">
        <v>407</v>
      </c>
      <c r="E14" s="475">
        <f t="shared" si="1"/>
        <v>404</v>
      </c>
      <c r="F14" s="402"/>
      <c r="G14" s="475">
        <v>404</v>
      </c>
      <c r="H14" s="23">
        <v>1110</v>
      </c>
      <c r="I14" s="475">
        <v>472</v>
      </c>
      <c r="J14" s="24">
        <v>1234</v>
      </c>
      <c r="K14" s="475">
        <v>546</v>
      </c>
      <c r="L14" s="475"/>
      <c r="M14" s="23"/>
      <c r="N14" s="23"/>
      <c r="O14" s="23"/>
      <c r="P14" s="25"/>
      <c r="Q14" s="25"/>
      <c r="R14" s="25"/>
      <c r="S14" s="25"/>
      <c r="T14" s="25"/>
      <c r="U14" s="25"/>
      <c r="V14" s="25"/>
      <c r="W14" s="25"/>
      <c r="X14" s="118"/>
    </row>
    <row r="15" spans="1:28" s="162" customFormat="1" ht="21.95" hidden="1" customHeight="1">
      <c r="A15" s="110" t="s">
        <v>586</v>
      </c>
      <c r="B15" s="110" t="s">
        <v>1</v>
      </c>
      <c r="C15" s="110" t="str">
        <f t="shared" ref="C15:C21" si="2">A15&amp;B15</f>
        <v>폴리에틸렌전선관PE 36C</v>
      </c>
      <c r="D15" s="99" t="s">
        <v>407</v>
      </c>
      <c r="E15" s="475">
        <f t="shared" si="1"/>
        <v>618</v>
      </c>
      <c r="F15" s="402"/>
      <c r="G15" s="475">
        <v>618</v>
      </c>
      <c r="H15" s="23">
        <v>1110</v>
      </c>
      <c r="I15" s="475">
        <v>707</v>
      </c>
      <c r="J15" s="24">
        <v>1234</v>
      </c>
      <c r="K15" s="475">
        <v>820</v>
      </c>
      <c r="L15" s="475"/>
      <c r="M15" s="23"/>
      <c r="N15" s="23"/>
      <c r="O15" s="23"/>
      <c r="P15" s="25"/>
      <c r="Q15" s="25"/>
      <c r="R15" s="25"/>
      <c r="S15" s="25"/>
      <c r="T15" s="25"/>
      <c r="U15" s="25"/>
      <c r="V15" s="25"/>
      <c r="W15" s="25"/>
      <c r="X15" s="118"/>
    </row>
    <row r="16" spans="1:28" s="162" customFormat="1" ht="21.95" hidden="1" customHeight="1">
      <c r="A16" s="110" t="s">
        <v>586</v>
      </c>
      <c r="B16" s="110" t="s">
        <v>222</v>
      </c>
      <c r="C16" s="110" t="str">
        <f t="shared" si="2"/>
        <v>폴리에틸렌전선관PE 42C</v>
      </c>
      <c r="D16" s="99" t="s">
        <v>407</v>
      </c>
      <c r="E16" s="475">
        <f t="shared" si="1"/>
        <v>880</v>
      </c>
      <c r="F16" s="402"/>
      <c r="G16" s="475"/>
      <c r="H16" s="23">
        <v>1111</v>
      </c>
      <c r="I16" s="475">
        <v>880</v>
      </c>
      <c r="J16" s="24" t="s">
        <v>601</v>
      </c>
      <c r="K16" s="475">
        <v>1063</v>
      </c>
      <c r="L16" s="475"/>
      <c r="M16" s="23"/>
      <c r="N16" s="23"/>
      <c r="O16" s="23"/>
      <c r="P16" s="25"/>
      <c r="Q16" s="25"/>
      <c r="R16" s="25"/>
      <c r="S16" s="25"/>
      <c r="T16" s="25"/>
      <c r="U16" s="25"/>
      <c r="V16" s="25"/>
      <c r="W16" s="25"/>
      <c r="X16" s="118"/>
    </row>
    <row r="17" spans="1:24" s="162" customFormat="1" ht="21.95" hidden="1" customHeight="1">
      <c r="A17" s="110" t="s">
        <v>586</v>
      </c>
      <c r="B17" s="110" t="s">
        <v>5</v>
      </c>
      <c r="C17" s="110" t="str">
        <f t="shared" si="2"/>
        <v>폴리에틸렌전선관PE 54C</v>
      </c>
      <c r="D17" s="99" t="s">
        <v>407</v>
      </c>
      <c r="E17" s="475">
        <f t="shared" si="1"/>
        <v>1208</v>
      </c>
      <c r="F17" s="402"/>
      <c r="G17" s="475"/>
      <c r="H17" s="23">
        <v>1111</v>
      </c>
      <c r="I17" s="475">
        <v>1208</v>
      </c>
      <c r="J17" s="24" t="s">
        <v>601</v>
      </c>
      <c r="K17" s="475">
        <v>1546</v>
      </c>
      <c r="L17" s="475"/>
      <c r="M17" s="23"/>
      <c r="N17" s="23"/>
      <c r="O17" s="23"/>
      <c r="P17" s="25"/>
      <c r="Q17" s="25"/>
      <c r="R17" s="25"/>
      <c r="S17" s="25"/>
      <c r="T17" s="25"/>
      <c r="U17" s="25"/>
      <c r="V17" s="25"/>
      <c r="W17" s="25"/>
      <c r="X17" s="118"/>
    </row>
    <row r="18" spans="1:24" s="162" customFormat="1" ht="21.95" hidden="1" customHeight="1">
      <c r="A18" s="110" t="s">
        <v>586</v>
      </c>
      <c r="B18" s="110" t="s">
        <v>172</v>
      </c>
      <c r="C18" s="110" t="str">
        <f t="shared" si="2"/>
        <v>폴리에틸렌전선관PE 70C</v>
      </c>
      <c r="D18" s="99" t="s">
        <v>407</v>
      </c>
      <c r="E18" s="475">
        <f t="shared" si="1"/>
        <v>2199</v>
      </c>
      <c r="F18" s="402"/>
      <c r="G18" s="475"/>
      <c r="H18" s="23">
        <v>1111</v>
      </c>
      <c r="I18" s="475">
        <v>2199</v>
      </c>
      <c r="J18" s="24" t="s">
        <v>601</v>
      </c>
      <c r="K18" s="475">
        <v>3031</v>
      </c>
      <c r="L18" s="475"/>
      <c r="M18" s="23"/>
      <c r="N18" s="23"/>
      <c r="O18" s="23"/>
      <c r="P18" s="25"/>
      <c r="Q18" s="25"/>
      <c r="R18" s="25"/>
      <c r="S18" s="25"/>
      <c r="T18" s="25"/>
      <c r="U18" s="25"/>
      <c r="V18" s="25"/>
      <c r="W18" s="25"/>
      <c r="X18" s="118"/>
    </row>
    <row r="19" spans="1:24" s="162" customFormat="1" ht="21.95" hidden="1" customHeight="1">
      <c r="A19" s="110" t="s">
        <v>167</v>
      </c>
      <c r="B19" s="110" t="s">
        <v>169</v>
      </c>
      <c r="C19" s="110" t="str">
        <f t="shared" si="2"/>
        <v>합성수지가요전선관(난연)CD 16C</v>
      </c>
      <c r="D19" s="99" t="s">
        <v>407</v>
      </c>
      <c r="E19" s="475">
        <f t="shared" si="1"/>
        <v>143</v>
      </c>
      <c r="F19" s="402"/>
      <c r="G19" s="475">
        <v>143</v>
      </c>
      <c r="H19" s="23">
        <v>1110</v>
      </c>
      <c r="I19" s="475">
        <v>180</v>
      </c>
      <c r="J19" s="24">
        <v>1234</v>
      </c>
      <c r="K19" s="475">
        <v>178</v>
      </c>
      <c r="L19" s="475"/>
      <c r="M19" s="23"/>
      <c r="N19" s="23"/>
      <c r="O19" s="23"/>
      <c r="P19" s="25"/>
      <c r="Q19" s="25"/>
      <c r="R19" s="25"/>
      <c r="S19" s="25"/>
      <c r="T19" s="25"/>
      <c r="U19" s="25"/>
      <c r="V19" s="25"/>
      <c r="W19" s="25"/>
      <c r="X19" s="118"/>
    </row>
    <row r="20" spans="1:24" s="162" customFormat="1" ht="21.95" hidden="1" customHeight="1">
      <c r="A20" s="110" t="s">
        <v>167</v>
      </c>
      <c r="B20" s="110" t="s">
        <v>170</v>
      </c>
      <c r="C20" s="110" t="str">
        <f t="shared" si="2"/>
        <v>합성수지가요전선관(난연)CD 22C</v>
      </c>
      <c r="D20" s="99" t="s">
        <v>407</v>
      </c>
      <c r="E20" s="475">
        <f t="shared" si="1"/>
        <v>211</v>
      </c>
      <c r="F20" s="402"/>
      <c r="G20" s="475">
        <v>211</v>
      </c>
      <c r="H20" s="23">
        <v>1110</v>
      </c>
      <c r="I20" s="475">
        <v>290</v>
      </c>
      <c r="J20" s="24">
        <v>1234</v>
      </c>
      <c r="K20" s="475">
        <v>283</v>
      </c>
      <c r="L20" s="475"/>
      <c r="M20" s="23"/>
      <c r="N20" s="23"/>
      <c r="O20" s="23"/>
      <c r="P20" s="25"/>
      <c r="Q20" s="25"/>
      <c r="R20" s="25"/>
      <c r="S20" s="25"/>
      <c r="T20" s="25"/>
      <c r="U20" s="25"/>
      <c r="V20" s="25"/>
      <c r="W20" s="25"/>
      <c r="X20" s="118"/>
    </row>
    <row r="21" spans="1:24" s="162" customFormat="1" ht="21.95" hidden="1" customHeight="1">
      <c r="A21" s="110" t="s">
        <v>167</v>
      </c>
      <c r="B21" s="110" t="s">
        <v>168</v>
      </c>
      <c r="C21" s="110" t="str">
        <f t="shared" si="2"/>
        <v>합성수지가요전선관(난연)CD 28C</v>
      </c>
      <c r="D21" s="99" t="s">
        <v>407</v>
      </c>
      <c r="E21" s="475">
        <f t="shared" si="1"/>
        <v>279</v>
      </c>
      <c r="F21" s="402"/>
      <c r="G21" s="475">
        <v>279</v>
      </c>
      <c r="H21" s="23">
        <v>1110</v>
      </c>
      <c r="I21" s="475">
        <v>360</v>
      </c>
      <c r="J21" s="24">
        <v>1234</v>
      </c>
      <c r="K21" s="475">
        <v>362</v>
      </c>
      <c r="L21" s="475"/>
      <c r="M21" s="23"/>
      <c r="N21" s="23"/>
      <c r="O21" s="23"/>
      <c r="P21" s="25"/>
      <c r="Q21" s="25"/>
      <c r="R21" s="25"/>
      <c r="S21" s="25"/>
      <c r="T21" s="25"/>
      <c r="U21" s="25"/>
      <c r="V21" s="25"/>
      <c r="W21" s="25"/>
      <c r="X21" s="118"/>
    </row>
    <row r="22" spans="1:24" s="162" customFormat="1" ht="21.95" customHeight="1">
      <c r="A22" s="110" t="s">
        <v>588</v>
      </c>
      <c r="B22" s="110" t="s">
        <v>621</v>
      </c>
      <c r="C22" s="110" t="str">
        <f t="shared" si="0"/>
        <v>강제전선관아연도 16C</v>
      </c>
      <c r="D22" s="99" t="s">
        <v>407</v>
      </c>
      <c r="E22" s="475">
        <f t="shared" si="1"/>
        <v>2380</v>
      </c>
      <c r="F22" s="402"/>
      <c r="G22" s="475">
        <v>2380</v>
      </c>
      <c r="H22" s="23">
        <v>1101</v>
      </c>
      <c r="I22" s="475">
        <v>2890</v>
      </c>
      <c r="J22" s="24">
        <v>1202</v>
      </c>
      <c r="K22" s="475">
        <v>3400</v>
      </c>
      <c r="L22" s="475"/>
      <c r="M22" s="23"/>
      <c r="N22" s="23"/>
      <c r="O22" s="23"/>
      <c r="P22" s="25"/>
      <c r="Q22" s="25"/>
      <c r="R22" s="25"/>
      <c r="S22" s="25"/>
      <c r="T22" s="25"/>
      <c r="U22" s="25"/>
      <c r="V22" s="25"/>
      <c r="W22" s="25"/>
      <c r="X22" s="118"/>
    </row>
    <row r="23" spans="1:24" s="162" customFormat="1" ht="21.95" hidden="1" customHeight="1">
      <c r="A23" s="110" t="s">
        <v>588</v>
      </c>
      <c r="B23" s="110" t="s">
        <v>622</v>
      </c>
      <c r="C23" s="110" t="str">
        <f t="shared" si="0"/>
        <v>강제전선관아연도 22C</v>
      </c>
      <c r="D23" s="99" t="s">
        <v>407</v>
      </c>
      <c r="E23" s="475">
        <f t="shared" si="1"/>
        <v>3085</v>
      </c>
      <c r="F23" s="402"/>
      <c r="G23" s="475">
        <v>3085</v>
      </c>
      <c r="H23" s="23">
        <v>1101</v>
      </c>
      <c r="I23" s="475">
        <v>3730</v>
      </c>
      <c r="J23" s="24">
        <v>1202</v>
      </c>
      <c r="K23" s="475">
        <v>4400</v>
      </c>
      <c r="L23" s="475"/>
      <c r="M23" s="23"/>
      <c r="N23" s="23"/>
      <c r="O23" s="23"/>
      <c r="P23" s="25"/>
      <c r="Q23" s="25"/>
      <c r="R23" s="25"/>
      <c r="S23" s="25"/>
      <c r="T23" s="25"/>
      <c r="U23" s="25"/>
      <c r="V23" s="25"/>
      <c r="W23" s="25"/>
      <c r="X23" s="118"/>
    </row>
    <row r="24" spans="1:24" s="162" customFormat="1" ht="21.95" customHeight="1">
      <c r="A24" s="110" t="s">
        <v>588</v>
      </c>
      <c r="B24" s="110" t="s">
        <v>583</v>
      </c>
      <c r="C24" s="110" t="str">
        <f t="shared" si="0"/>
        <v>강제전선관아연도 28C</v>
      </c>
      <c r="D24" s="99" t="s">
        <v>407</v>
      </c>
      <c r="E24" s="475">
        <f t="shared" si="1"/>
        <v>4012</v>
      </c>
      <c r="F24" s="402"/>
      <c r="G24" s="475">
        <v>4012</v>
      </c>
      <c r="H24" s="23">
        <v>1101</v>
      </c>
      <c r="I24" s="475">
        <v>4880</v>
      </c>
      <c r="J24" s="24">
        <v>1202</v>
      </c>
      <c r="K24" s="475">
        <v>5750</v>
      </c>
      <c r="L24" s="475"/>
      <c r="M24" s="23"/>
      <c r="N24" s="23"/>
      <c r="O24" s="23"/>
      <c r="P24" s="25"/>
      <c r="Q24" s="25"/>
      <c r="R24" s="25"/>
      <c r="S24" s="25"/>
      <c r="T24" s="25"/>
      <c r="U24" s="25"/>
      <c r="V24" s="25"/>
      <c r="W24" s="25"/>
      <c r="X24" s="118"/>
    </row>
    <row r="25" spans="1:24" s="162" customFormat="1" ht="21.95" hidden="1" customHeight="1">
      <c r="A25" s="110" t="s">
        <v>588</v>
      </c>
      <c r="B25" s="110" t="s">
        <v>623</v>
      </c>
      <c r="C25" s="110" t="str">
        <f t="shared" si="0"/>
        <v>강제전선관아연도 36C</v>
      </c>
      <c r="D25" s="99" t="s">
        <v>407</v>
      </c>
      <c r="E25" s="475">
        <f t="shared" si="1"/>
        <v>5134</v>
      </c>
      <c r="F25" s="402"/>
      <c r="G25" s="475">
        <v>5134</v>
      </c>
      <c r="H25" s="23">
        <v>1101</v>
      </c>
      <c r="I25" s="475">
        <v>6240</v>
      </c>
      <c r="J25" s="24">
        <v>1202</v>
      </c>
      <c r="K25" s="475">
        <v>7360</v>
      </c>
      <c r="L25" s="475"/>
      <c r="M25" s="23"/>
      <c r="N25" s="23"/>
      <c r="O25" s="23"/>
      <c r="P25" s="25"/>
      <c r="Q25" s="25"/>
      <c r="R25" s="25"/>
      <c r="S25" s="25"/>
      <c r="T25" s="25"/>
      <c r="U25" s="25"/>
      <c r="V25" s="25"/>
      <c r="W25" s="25"/>
      <c r="X25" s="118"/>
    </row>
    <row r="26" spans="1:24" s="162" customFormat="1" ht="21.95" hidden="1" customHeight="1">
      <c r="A26" s="110" t="s">
        <v>588</v>
      </c>
      <c r="B26" s="110" t="s">
        <v>624</v>
      </c>
      <c r="C26" s="110" t="str">
        <f t="shared" si="0"/>
        <v>강제전선관아연도 42C</v>
      </c>
      <c r="D26" s="99" t="s">
        <v>407</v>
      </c>
      <c r="E26" s="475">
        <f t="shared" si="1"/>
        <v>5899</v>
      </c>
      <c r="F26" s="402"/>
      <c r="G26" s="475">
        <v>5899</v>
      </c>
      <c r="H26" s="23">
        <v>1101</v>
      </c>
      <c r="I26" s="475">
        <v>7180</v>
      </c>
      <c r="J26" s="24">
        <v>1202</v>
      </c>
      <c r="K26" s="475">
        <v>8460</v>
      </c>
      <c r="L26" s="475"/>
      <c r="M26" s="23"/>
      <c r="N26" s="23"/>
      <c r="O26" s="23"/>
      <c r="P26" s="25"/>
      <c r="Q26" s="25"/>
      <c r="R26" s="25"/>
      <c r="S26" s="25"/>
      <c r="T26" s="25"/>
      <c r="U26" s="25"/>
      <c r="V26" s="25"/>
      <c r="W26" s="25"/>
      <c r="X26" s="118"/>
    </row>
    <row r="27" spans="1:24" s="162" customFormat="1" ht="21.95" hidden="1" customHeight="1">
      <c r="A27" s="110" t="s">
        <v>588</v>
      </c>
      <c r="B27" s="110" t="s">
        <v>625</v>
      </c>
      <c r="C27" s="110" t="str">
        <f t="shared" si="0"/>
        <v>강제전선관아연도 54C</v>
      </c>
      <c r="D27" s="99" t="s">
        <v>407</v>
      </c>
      <c r="E27" s="475">
        <f t="shared" si="1"/>
        <v>8998</v>
      </c>
      <c r="F27" s="402"/>
      <c r="G27" s="475">
        <v>8998</v>
      </c>
      <c r="H27" s="23">
        <v>1101</v>
      </c>
      <c r="I27" s="475">
        <v>10080</v>
      </c>
      <c r="J27" s="24">
        <v>1202</v>
      </c>
      <c r="K27" s="475">
        <v>11890</v>
      </c>
      <c r="L27" s="475"/>
      <c r="M27" s="23"/>
      <c r="N27" s="23"/>
      <c r="O27" s="23"/>
      <c r="P27" s="25"/>
      <c r="Q27" s="25"/>
      <c r="R27" s="25"/>
      <c r="S27" s="25"/>
      <c r="T27" s="25"/>
      <c r="U27" s="25"/>
      <c r="V27" s="25"/>
      <c r="W27" s="25"/>
      <c r="X27" s="118"/>
    </row>
    <row r="28" spans="1:24" s="162" customFormat="1" ht="21.95" customHeight="1">
      <c r="A28" s="110" t="s">
        <v>588</v>
      </c>
      <c r="B28" s="110" t="s">
        <v>626</v>
      </c>
      <c r="C28" s="110" t="str">
        <f t="shared" si="0"/>
        <v>강제전선관아연도 70C</v>
      </c>
      <c r="D28" s="99" t="s">
        <v>407</v>
      </c>
      <c r="E28" s="475">
        <f t="shared" si="1"/>
        <v>10574</v>
      </c>
      <c r="F28" s="402"/>
      <c r="G28" s="475">
        <v>10574</v>
      </c>
      <c r="H28" s="23">
        <v>1101</v>
      </c>
      <c r="I28" s="475">
        <v>12850</v>
      </c>
      <c r="J28" s="24">
        <v>1202</v>
      </c>
      <c r="K28" s="475">
        <v>15160</v>
      </c>
      <c r="L28" s="475"/>
      <c r="M28" s="23"/>
      <c r="N28" s="23"/>
      <c r="O28" s="23"/>
      <c r="P28" s="25"/>
      <c r="Q28" s="25"/>
      <c r="R28" s="25"/>
      <c r="S28" s="25"/>
      <c r="T28" s="25"/>
      <c r="U28" s="25"/>
      <c r="V28" s="25"/>
      <c r="W28" s="25"/>
      <c r="X28" s="118"/>
    </row>
    <row r="29" spans="1:24" s="162" customFormat="1" ht="21.95" customHeight="1">
      <c r="A29" s="110" t="s">
        <v>588</v>
      </c>
      <c r="B29" s="110" t="s">
        <v>627</v>
      </c>
      <c r="C29" s="110" t="str">
        <f t="shared" si="0"/>
        <v>강제전선관아연도 82C</v>
      </c>
      <c r="D29" s="99" t="s">
        <v>407</v>
      </c>
      <c r="E29" s="475">
        <f t="shared" si="1"/>
        <v>12166</v>
      </c>
      <c r="F29" s="402"/>
      <c r="G29" s="475">
        <v>12166</v>
      </c>
      <c r="H29" s="23">
        <v>1101</v>
      </c>
      <c r="I29" s="475">
        <v>14810</v>
      </c>
      <c r="J29" s="24">
        <v>1202</v>
      </c>
      <c r="K29" s="475">
        <v>17470</v>
      </c>
      <c r="L29" s="475"/>
      <c r="M29" s="23"/>
      <c r="N29" s="23"/>
      <c r="O29" s="23"/>
      <c r="P29" s="25"/>
      <c r="Q29" s="25"/>
      <c r="R29" s="25"/>
      <c r="S29" s="25"/>
      <c r="T29" s="25"/>
      <c r="U29" s="25"/>
      <c r="V29" s="25"/>
      <c r="W29" s="25"/>
      <c r="X29" s="118"/>
    </row>
    <row r="30" spans="1:24" s="162" customFormat="1" ht="21.95" customHeight="1">
      <c r="A30" s="110" t="s">
        <v>588</v>
      </c>
      <c r="B30" s="110" t="s">
        <v>628</v>
      </c>
      <c r="C30" s="110" t="str">
        <f t="shared" si="0"/>
        <v>강제전선관아연도 104C</v>
      </c>
      <c r="D30" s="99" t="s">
        <v>407</v>
      </c>
      <c r="E30" s="475">
        <f t="shared" si="1"/>
        <v>19626</v>
      </c>
      <c r="F30" s="402"/>
      <c r="G30" s="475">
        <v>19626</v>
      </c>
      <c r="H30" s="23">
        <v>1101</v>
      </c>
      <c r="I30" s="475">
        <v>23900</v>
      </c>
      <c r="J30" s="24">
        <v>1202</v>
      </c>
      <c r="K30" s="475">
        <v>28200</v>
      </c>
      <c r="L30" s="475"/>
      <c r="M30" s="23"/>
      <c r="N30" s="23"/>
      <c r="O30" s="23"/>
      <c r="P30" s="25"/>
      <c r="Q30" s="25"/>
      <c r="R30" s="25"/>
      <c r="S30" s="25"/>
      <c r="T30" s="25"/>
      <c r="U30" s="25"/>
      <c r="V30" s="25"/>
      <c r="W30" s="25"/>
      <c r="X30" s="118"/>
    </row>
    <row r="31" spans="1:24" s="162" customFormat="1" ht="21.95" hidden="1" customHeight="1">
      <c r="A31" s="110" t="s">
        <v>382</v>
      </c>
      <c r="B31" s="110" t="s">
        <v>415</v>
      </c>
      <c r="C31" s="110" t="str">
        <f t="shared" si="0"/>
        <v>파상형경질PE전선관ELP 30Φ</v>
      </c>
      <c r="D31" s="99" t="s">
        <v>407</v>
      </c>
      <c r="E31" s="475">
        <f t="shared" si="1"/>
        <v>343</v>
      </c>
      <c r="F31" s="99"/>
      <c r="G31" s="475">
        <v>343</v>
      </c>
      <c r="H31" s="26">
        <v>1112</v>
      </c>
      <c r="I31" s="27">
        <v>365</v>
      </c>
      <c r="J31" s="24">
        <v>1233</v>
      </c>
      <c r="K31" s="27">
        <v>373</v>
      </c>
      <c r="L31" s="122"/>
      <c r="M31" s="475"/>
      <c r="N31" s="475"/>
      <c r="O31" s="23"/>
      <c r="P31" s="25"/>
      <c r="Q31" s="25"/>
      <c r="R31" s="25"/>
      <c r="S31" s="25"/>
      <c r="T31" s="25"/>
      <c r="U31" s="25"/>
      <c r="V31" s="25"/>
      <c r="W31" s="28"/>
      <c r="X31" s="124" t="s">
        <v>524</v>
      </c>
    </row>
    <row r="32" spans="1:24" s="162" customFormat="1" ht="21.95" hidden="1" customHeight="1">
      <c r="A32" s="110" t="s">
        <v>382</v>
      </c>
      <c r="B32" s="110" t="s">
        <v>416</v>
      </c>
      <c r="C32" s="110" t="str">
        <f t="shared" ref="C32:C44" si="3">A32&amp;B32</f>
        <v>파상형경질PE전선관ELP 40Φ</v>
      </c>
      <c r="D32" s="99" t="s">
        <v>407</v>
      </c>
      <c r="E32" s="475">
        <f t="shared" si="1"/>
        <v>523</v>
      </c>
      <c r="F32" s="99"/>
      <c r="G32" s="475">
        <v>523</v>
      </c>
      <c r="H32" s="26">
        <v>1112</v>
      </c>
      <c r="I32" s="27">
        <v>540</v>
      </c>
      <c r="J32" s="24">
        <v>1233</v>
      </c>
      <c r="K32" s="27">
        <v>542</v>
      </c>
      <c r="L32" s="122"/>
      <c r="M32" s="475"/>
      <c r="N32" s="475"/>
      <c r="O32" s="23"/>
      <c r="P32" s="25"/>
      <c r="Q32" s="25"/>
      <c r="R32" s="25"/>
      <c r="S32" s="25"/>
      <c r="T32" s="25"/>
      <c r="U32" s="25"/>
      <c r="V32" s="25"/>
      <c r="W32" s="28"/>
      <c r="X32" s="124" t="s">
        <v>524</v>
      </c>
    </row>
    <row r="33" spans="1:24" s="162" customFormat="1" ht="21.95" hidden="1" customHeight="1">
      <c r="A33" s="110" t="s">
        <v>382</v>
      </c>
      <c r="B33" s="110" t="s">
        <v>417</v>
      </c>
      <c r="C33" s="110" t="str">
        <f t="shared" si="3"/>
        <v>파상형경질PE전선관ELP 50Φ</v>
      </c>
      <c r="D33" s="99" t="s">
        <v>407</v>
      </c>
      <c r="E33" s="475">
        <f t="shared" si="1"/>
        <v>680</v>
      </c>
      <c r="F33" s="99"/>
      <c r="G33" s="475">
        <v>680</v>
      </c>
      <c r="H33" s="26">
        <v>1112</v>
      </c>
      <c r="I33" s="27">
        <v>720</v>
      </c>
      <c r="J33" s="24">
        <v>1233</v>
      </c>
      <c r="K33" s="27">
        <v>758</v>
      </c>
      <c r="L33" s="122"/>
      <c r="M33" s="475"/>
      <c r="N33" s="475"/>
      <c r="O33" s="23"/>
      <c r="P33" s="25"/>
      <c r="Q33" s="25"/>
      <c r="R33" s="25"/>
      <c r="S33" s="25"/>
      <c r="T33" s="25"/>
      <c r="U33" s="25"/>
      <c r="V33" s="25"/>
      <c r="W33" s="28"/>
      <c r="X33" s="124" t="s">
        <v>524</v>
      </c>
    </row>
    <row r="34" spans="1:24" s="162" customFormat="1" ht="21.95" hidden="1" customHeight="1">
      <c r="A34" s="110" t="s">
        <v>382</v>
      </c>
      <c r="B34" s="110" t="s">
        <v>418</v>
      </c>
      <c r="C34" s="110" t="str">
        <f t="shared" si="3"/>
        <v>파상형경질PE전선관ELP 65Φ</v>
      </c>
      <c r="D34" s="99" t="s">
        <v>407</v>
      </c>
      <c r="E34" s="475">
        <f t="shared" si="1"/>
        <v>990</v>
      </c>
      <c r="F34" s="99"/>
      <c r="G34" s="475">
        <v>990</v>
      </c>
      <c r="H34" s="26">
        <v>1112</v>
      </c>
      <c r="I34" s="27">
        <v>1060</v>
      </c>
      <c r="J34" s="24">
        <v>1233</v>
      </c>
      <c r="K34" s="27">
        <v>1142</v>
      </c>
      <c r="L34" s="122"/>
      <c r="M34" s="475"/>
      <c r="N34" s="475"/>
      <c r="O34" s="23"/>
      <c r="P34" s="25"/>
      <c r="Q34" s="25"/>
      <c r="R34" s="25"/>
      <c r="S34" s="25"/>
      <c r="T34" s="25"/>
      <c r="U34" s="25"/>
      <c r="V34" s="25"/>
      <c r="W34" s="28"/>
      <c r="X34" s="124" t="s">
        <v>524</v>
      </c>
    </row>
    <row r="35" spans="1:24" s="162" customFormat="1" ht="21.95" hidden="1" customHeight="1">
      <c r="A35" s="110" t="s">
        <v>382</v>
      </c>
      <c r="B35" s="110" t="s">
        <v>383</v>
      </c>
      <c r="C35" s="110" t="str">
        <f t="shared" si="3"/>
        <v>파상형경질PE전선관ELP 80Φ</v>
      </c>
      <c r="D35" s="99" t="s">
        <v>407</v>
      </c>
      <c r="E35" s="475">
        <f t="shared" si="1"/>
        <v>1357</v>
      </c>
      <c r="F35" s="99"/>
      <c r="G35" s="475">
        <v>1357</v>
      </c>
      <c r="H35" s="26">
        <v>1112</v>
      </c>
      <c r="I35" s="27">
        <v>1460</v>
      </c>
      <c r="J35" s="24">
        <v>1233</v>
      </c>
      <c r="K35" s="27">
        <v>1503</v>
      </c>
      <c r="L35" s="122"/>
      <c r="M35" s="475"/>
      <c r="N35" s="475"/>
      <c r="O35" s="23"/>
      <c r="P35" s="25"/>
      <c r="Q35" s="25"/>
      <c r="R35" s="25"/>
      <c r="S35" s="25"/>
      <c r="T35" s="25"/>
      <c r="U35" s="25"/>
      <c r="V35" s="25"/>
      <c r="W35" s="28"/>
      <c r="X35" s="124" t="s">
        <v>524</v>
      </c>
    </row>
    <row r="36" spans="1:24" s="162" customFormat="1" ht="21.95" hidden="1" customHeight="1">
      <c r="A36" s="110" t="s">
        <v>382</v>
      </c>
      <c r="B36" s="110" t="s">
        <v>531</v>
      </c>
      <c r="C36" s="110" t="str">
        <f t="shared" si="3"/>
        <v>파상형경질PE전선관ELP 100Φ</v>
      </c>
      <c r="D36" s="99" t="s">
        <v>407</v>
      </c>
      <c r="E36" s="475">
        <f t="shared" si="1"/>
        <v>1784</v>
      </c>
      <c r="F36" s="99"/>
      <c r="G36" s="475">
        <v>1784</v>
      </c>
      <c r="H36" s="26">
        <v>1112</v>
      </c>
      <c r="I36" s="27">
        <v>1920</v>
      </c>
      <c r="J36" s="24">
        <v>1233</v>
      </c>
      <c r="K36" s="27">
        <v>2039</v>
      </c>
      <c r="L36" s="122"/>
      <c r="M36" s="475"/>
      <c r="N36" s="475"/>
      <c r="O36" s="23"/>
      <c r="P36" s="25"/>
      <c r="Q36" s="25"/>
      <c r="R36" s="25"/>
      <c r="S36" s="25"/>
      <c r="T36" s="25"/>
      <c r="U36" s="25"/>
      <c r="V36" s="25"/>
      <c r="W36" s="28"/>
      <c r="X36" s="124" t="s">
        <v>532</v>
      </c>
    </row>
    <row r="37" spans="1:24" s="162" customFormat="1" ht="21.95" hidden="1" customHeight="1">
      <c r="A37" s="110" t="s">
        <v>382</v>
      </c>
      <c r="B37" s="110" t="s">
        <v>663</v>
      </c>
      <c r="C37" s="110" t="str">
        <f>A37&amp;B37</f>
        <v>파상형경질PE전선관ELP 125Φ</v>
      </c>
      <c r="D37" s="99" t="s">
        <v>407</v>
      </c>
      <c r="E37" s="475">
        <f t="shared" si="1"/>
        <v>2796</v>
      </c>
      <c r="F37" s="99"/>
      <c r="G37" s="475">
        <v>2796</v>
      </c>
      <c r="H37" s="26">
        <v>1112</v>
      </c>
      <c r="I37" s="27">
        <v>2912</v>
      </c>
      <c r="J37" s="24">
        <v>1233</v>
      </c>
      <c r="K37" s="27">
        <v>3169</v>
      </c>
      <c r="L37" s="122"/>
      <c r="M37" s="475"/>
      <c r="N37" s="475"/>
      <c r="O37" s="23"/>
      <c r="P37" s="25"/>
      <c r="Q37" s="25"/>
      <c r="R37" s="25"/>
      <c r="S37" s="25"/>
      <c r="T37" s="25"/>
      <c r="U37" s="25"/>
      <c r="V37" s="25"/>
      <c r="W37" s="28"/>
      <c r="X37" s="124" t="s">
        <v>524</v>
      </c>
    </row>
    <row r="38" spans="1:24" s="162" customFormat="1" ht="21.95" hidden="1" customHeight="1">
      <c r="A38" s="110" t="s">
        <v>382</v>
      </c>
      <c r="B38" s="110" t="s">
        <v>78</v>
      </c>
      <c r="C38" s="110" t="str">
        <f>A38&amp;B38</f>
        <v>파상형경질PE전선관ELP 150Φ</v>
      </c>
      <c r="D38" s="99" t="s">
        <v>407</v>
      </c>
      <c r="E38" s="475">
        <f t="shared" si="1"/>
        <v>3927</v>
      </c>
      <c r="F38" s="99"/>
      <c r="G38" s="475"/>
      <c r="H38" s="26">
        <v>1110</v>
      </c>
      <c r="I38" s="27">
        <v>3927</v>
      </c>
      <c r="J38" s="24" t="s">
        <v>601</v>
      </c>
      <c r="K38" s="27">
        <v>4297</v>
      </c>
      <c r="L38" s="122"/>
      <c r="M38" s="475"/>
      <c r="N38" s="475"/>
      <c r="O38" s="23"/>
      <c r="P38" s="25"/>
      <c r="Q38" s="25"/>
      <c r="R38" s="25"/>
      <c r="S38" s="25"/>
      <c r="T38" s="25"/>
      <c r="U38" s="25"/>
      <c r="V38" s="25"/>
      <c r="W38" s="28"/>
      <c r="X38" s="124" t="s">
        <v>524</v>
      </c>
    </row>
    <row r="39" spans="1:24" s="162" customFormat="1" ht="21.95" hidden="1" customHeight="1">
      <c r="A39" s="110" t="s">
        <v>629</v>
      </c>
      <c r="B39" s="110" t="s">
        <v>700</v>
      </c>
      <c r="C39" s="110" t="str">
        <f t="shared" si="3"/>
        <v>1종금속가요전선관일반비방수 16C</v>
      </c>
      <c r="D39" s="99" t="s">
        <v>407</v>
      </c>
      <c r="E39" s="475">
        <f t="shared" si="1"/>
        <v>360</v>
      </c>
      <c r="F39" s="99"/>
      <c r="G39" s="475">
        <v>360</v>
      </c>
      <c r="H39" s="26">
        <v>1107</v>
      </c>
      <c r="I39" s="475">
        <v>400</v>
      </c>
      <c r="J39" s="24">
        <v>1232</v>
      </c>
      <c r="K39" s="475">
        <v>470</v>
      </c>
      <c r="L39" s="122"/>
      <c r="M39" s="475"/>
      <c r="N39" s="475"/>
      <c r="O39" s="23"/>
      <c r="P39" s="25"/>
      <c r="Q39" s="25"/>
      <c r="R39" s="25"/>
      <c r="S39" s="25"/>
      <c r="T39" s="25"/>
      <c r="U39" s="25"/>
      <c r="V39" s="25"/>
      <c r="W39" s="28"/>
      <c r="X39" s="118" t="s">
        <v>340</v>
      </c>
    </row>
    <row r="40" spans="1:24" s="162" customFormat="1" ht="21.95" hidden="1" customHeight="1">
      <c r="A40" s="110" t="s">
        <v>629</v>
      </c>
      <c r="B40" s="110" t="s">
        <v>631</v>
      </c>
      <c r="C40" s="110" t="str">
        <f t="shared" si="3"/>
        <v>1종금속가요전선관일반비방수 22C</v>
      </c>
      <c r="D40" s="99" t="s">
        <v>407</v>
      </c>
      <c r="E40" s="475">
        <f t="shared" si="1"/>
        <v>567</v>
      </c>
      <c r="F40" s="99"/>
      <c r="G40" s="475">
        <v>567</v>
      </c>
      <c r="H40" s="26">
        <v>1107</v>
      </c>
      <c r="I40" s="27">
        <v>630</v>
      </c>
      <c r="J40" s="24" t="s">
        <v>1270</v>
      </c>
      <c r="K40" s="27">
        <v>870</v>
      </c>
      <c r="L40" s="122"/>
      <c r="M40" s="475"/>
      <c r="N40" s="475"/>
      <c r="O40" s="23"/>
      <c r="P40" s="25"/>
      <c r="Q40" s="25"/>
      <c r="R40" s="25"/>
      <c r="S40" s="25"/>
      <c r="T40" s="25"/>
      <c r="U40" s="25"/>
      <c r="V40" s="25"/>
      <c r="W40" s="28"/>
      <c r="X40" s="118"/>
    </row>
    <row r="41" spans="1:24" s="162" customFormat="1" ht="21.95" hidden="1" customHeight="1">
      <c r="A41" s="110" t="s">
        <v>629</v>
      </c>
      <c r="B41" s="110" t="s">
        <v>996</v>
      </c>
      <c r="C41" s="110" t="str">
        <f>A41&amp;B41</f>
        <v>1종금속가요전선관일반비방수 28C</v>
      </c>
      <c r="D41" s="99" t="s">
        <v>407</v>
      </c>
      <c r="E41" s="475">
        <f>MIN(G41,I41,K41,L41,M41)</f>
        <v>578</v>
      </c>
      <c r="F41" s="99"/>
      <c r="G41" s="475">
        <v>578</v>
      </c>
      <c r="H41" s="26">
        <v>1107</v>
      </c>
      <c r="I41" s="27">
        <v>800</v>
      </c>
      <c r="J41" s="24" t="s">
        <v>1208</v>
      </c>
      <c r="K41" s="27">
        <v>1040</v>
      </c>
      <c r="L41" s="122"/>
      <c r="M41" s="475"/>
      <c r="N41" s="475"/>
      <c r="O41" s="23"/>
      <c r="P41" s="25"/>
      <c r="Q41" s="25"/>
      <c r="R41" s="25"/>
      <c r="S41" s="25"/>
      <c r="T41" s="25"/>
      <c r="U41" s="25"/>
      <c r="V41" s="25"/>
      <c r="W41" s="28"/>
      <c r="X41" s="118"/>
    </row>
    <row r="42" spans="1:24" s="162" customFormat="1" ht="21.95" hidden="1" customHeight="1">
      <c r="A42" s="110" t="s">
        <v>629</v>
      </c>
      <c r="B42" s="110" t="s">
        <v>144</v>
      </c>
      <c r="C42" s="110" t="str">
        <f>A42&amp;B42</f>
        <v>1종금속가요전선관일반방수 16C</v>
      </c>
      <c r="D42" s="99" t="s">
        <v>407</v>
      </c>
      <c r="E42" s="475">
        <f t="shared" si="1"/>
        <v>495</v>
      </c>
      <c r="F42" s="99"/>
      <c r="G42" s="475">
        <v>709</v>
      </c>
      <c r="H42" s="26">
        <v>1107</v>
      </c>
      <c r="I42" s="27">
        <v>500</v>
      </c>
      <c r="J42" s="24">
        <v>1232</v>
      </c>
      <c r="K42" s="27">
        <v>495</v>
      </c>
      <c r="L42" s="122"/>
      <c r="M42" s="475"/>
      <c r="N42" s="475"/>
      <c r="O42" s="23"/>
      <c r="P42" s="25"/>
      <c r="Q42" s="25"/>
      <c r="R42" s="25"/>
      <c r="S42" s="25"/>
      <c r="T42" s="25"/>
      <c r="U42" s="25"/>
      <c r="V42" s="25"/>
      <c r="W42" s="28"/>
      <c r="X42" s="118"/>
    </row>
    <row r="43" spans="1:24" s="162" customFormat="1" ht="21.95" hidden="1" customHeight="1">
      <c r="A43" s="110" t="s">
        <v>629</v>
      </c>
      <c r="B43" s="110" t="s">
        <v>151</v>
      </c>
      <c r="C43" s="110" t="str">
        <f t="shared" si="3"/>
        <v>1종금속가요전선관일반방수 22C</v>
      </c>
      <c r="D43" s="99" t="s">
        <v>407</v>
      </c>
      <c r="E43" s="475">
        <f t="shared" si="1"/>
        <v>650</v>
      </c>
      <c r="F43" s="99"/>
      <c r="G43" s="475">
        <v>807</v>
      </c>
      <c r="H43" s="26">
        <v>1107</v>
      </c>
      <c r="I43" s="27">
        <v>650</v>
      </c>
      <c r="J43" s="24">
        <v>1232</v>
      </c>
      <c r="K43" s="27">
        <v>940</v>
      </c>
      <c r="L43" s="122"/>
      <c r="M43" s="475"/>
      <c r="N43" s="475"/>
      <c r="O43" s="23"/>
      <c r="P43" s="25"/>
      <c r="Q43" s="25"/>
      <c r="R43" s="25"/>
      <c r="S43" s="25"/>
      <c r="T43" s="25"/>
      <c r="U43" s="25"/>
      <c r="V43" s="25"/>
      <c r="W43" s="28"/>
      <c r="X43" s="118"/>
    </row>
    <row r="44" spans="1:24" s="162" customFormat="1" ht="21.95" hidden="1" customHeight="1">
      <c r="A44" s="110" t="s">
        <v>629</v>
      </c>
      <c r="B44" s="110" t="s">
        <v>150</v>
      </c>
      <c r="C44" s="110" t="str">
        <f t="shared" si="3"/>
        <v>1종금속가요전선관일반방수 28C</v>
      </c>
      <c r="D44" s="99" t="s">
        <v>407</v>
      </c>
      <c r="E44" s="475">
        <f t="shared" si="1"/>
        <v>950</v>
      </c>
      <c r="F44" s="99"/>
      <c r="G44" s="475">
        <v>959</v>
      </c>
      <c r="H44" s="26">
        <v>1107</v>
      </c>
      <c r="I44" s="27">
        <v>950</v>
      </c>
      <c r="J44" s="24">
        <v>1232</v>
      </c>
      <c r="K44" s="27">
        <v>1100</v>
      </c>
      <c r="L44" s="122"/>
      <c r="M44" s="475"/>
      <c r="N44" s="475"/>
      <c r="O44" s="23"/>
      <c r="P44" s="25"/>
      <c r="Q44" s="25"/>
      <c r="R44" s="25"/>
      <c r="S44" s="25"/>
      <c r="T44" s="25"/>
      <c r="U44" s="25"/>
      <c r="V44" s="25"/>
      <c r="W44" s="28"/>
      <c r="X44" s="118"/>
    </row>
    <row r="45" spans="1:24" s="162" customFormat="1" ht="21.95" hidden="1" customHeight="1">
      <c r="A45" s="110" t="s">
        <v>629</v>
      </c>
      <c r="B45" s="110" t="s">
        <v>152</v>
      </c>
      <c r="C45" s="110" t="str">
        <f t="shared" ref="C45:C63" si="4">A45&amp;B45</f>
        <v>1종금속가요전선관일반방수 36C</v>
      </c>
      <c r="D45" s="99" t="s">
        <v>407</v>
      </c>
      <c r="E45" s="475">
        <f t="shared" si="1"/>
        <v>1380</v>
      </c>
      <c r="F45" s="99"/>
      <c r="G45" s="475">
        <v>1380</v>
      </c>
      <c r="H45" s="26">
        <v>1107</v>
      </c>
      <c r="I45" s="27">
        <v>1600</v>
      </c>
      <c r="J45" s="24">
        <v>1232</v>
      </c>
      <c r="K45" s="27">
        <v>1430</v>
      </c>
      <c r="L45" s="122"/>
      <c r="M45" s="475"/>
      <c r="N45" s="475"/>
      <c r="O45" s="23"/>
      <c r="P45" s="25"/>
      <c r="Q45" s="25"/>
      <c r="R45" s="25"/>
      <c r="S45" s="25"/>
      <c r="T45" s="25"/>
      <c r="U45" s="25"/>
      <c r="V45" s="25"/>
      <c r="W45" s="28"/>
      <c r="X45" s="118"/>
    </row>
    <row r="46" spans="1:24" s="162" customFormat="1" ht="21.95" hidden="1" customHeight="1">
      <c r="A46" s="110" t="s">
        <v>629</v>
      </c>
      <c r="B46" s="110" t="s">
        <v>143</v>
      </c>
      <c r="C46" s="110" t="str">
        <f t="shared" si="4"/>
        <v>1종금속가요전선관일반방수 42C</v>
      </c>
      <c r="D46" s="99" t="s">
        <v>407</v>
      </c>
      <c r="E46" s="475">
        <f t="shared" si="1"/>
        <v>1620</v>
      </c>
      <c r="F46" s="99"/>
      <c r="G46" s="475">
        <v>1620</v>
      </c>
      <c r="H46" s="26">
        <v>1107</v>
      </c>
      <c r="I46" s="27">
        <v>1900</v>
      </c>
      <c r="J46" s="24">
        <v>1232</v>
      </c>
      <c r="K46" s="27">
        <v>2300</v>
      </c>
      <c r="L46" s="122"/>
      <c r="M46" s="475"/>
      <c r="N46" s="475"/>
      <c r="O46" s="23"/>
      <c r="P46" s="25"/>
      <c r="Q46" s="25"/>
      <c r="R46" s="25"/>
      <c r="S46" s="25"/>
      <c r="T46" s="25"/>
      <c r="U46" s="25"/>
      <c r="V46" s="25"/>
      <c r="W46" s="28"/>
      <c r="X46" s="118"/>
    </row>
    <row r="47" spans="1:24" s="162" customFormat="1" ht="21.95" hidden="1" customHeight="1">
      <c r="A47" s="110" t="s">
        <v>629</v>
      </c>
      <c r="B47" s="110" t="s">
        <v>149</v>
      </c>
      <c r="C47" s="110" t="str">
        <f t="shared" si="4"/>
        <v>1종금속가요전선관일반방수 54C</v>
      </c>
      <c r="D47" s="99" t="s">
        <v>407</v>
      </c>
      <c r="E47" s="475">
        <f t="shared" si="1"/>
        <v>2230</v>
      </c>
      <c r="F47" s="99"/>
      <c r="G47" s="475">
        <v>2230</v>
      </c>
      <c r="H47" s="26">
        <v>1107</v>
      </c>
      <c r="I47" s="27">
        <v>2700</v>
      </c>
      <c r="J47" s="24" t="s">
        <v>1339</v>
      </c>
      <c r="K47" s="27">
        <v>2970</v>
      </c>
      <c r="L47" s="122"/>
      <c r="M47" s="475"/>
      <c r="N47" s="475"/>
      <c r="O47" s="23"/>
      <c r="P47" s="25"/>
      <c r="Q47" s="25"/>
      <c r="R47" s="25"/>
      <c r="S47" s="25"/>
      <c r="T47" s="25"/>
      <c r="U47" s="25"/>
      <c r="V47" s="25"/>
      <c r="W47" s="28"/>
      <c r="X47" s="118"/>
    </row>
    <row r="48" spans="1:24" s="162" customFormat="1" ht="21.95" hidden="1" customHeight="1">
      <c r="A48" s="110" t="s">
        <v>629</v>
      </c>
      <c r="B48" s="110" t="s">
        <v>886</v>
      </c>
      <c r="C48" s="110" t="str">
        <f t="shared" si="4"/>
        <v>1종금속가요전선관일반방수 70C</v>
      </c>
      <c r="D48" s="99" t="s">
        <v>407</v>
      </c>
      <c r="E48" s="475">
        <f t="shared" ref="E48:E54" si="5">MIN(G48,I48,K48,L48,M48)</f>
        <v>4790</v>
      </c>
      <c r="F48" s="99"/>
      <c r="G48" s="475">
        <v>4790</v>
      </c>
      <c r="H48" s="26">
        <v>1109</v>
      </c>
      <c r="I48" s="27"/>
      <c r="J48" s="24" t="s">
        <v>838</v>
      </c>
      <c r="K48" s="27"/>
      <c r="L48" s="122"/>
      <c r="M48" s="475"/>
      <c r="N48" s="475"/>
      <c r="O48" s="23"/>
      <c r="P48" s="25"/>
      <c r="Q48" s="25"/>
      <c r="R48" s="25"/>
      <c r="S48" s="25"/>
      <c r="T48" s="25"/>
      <c r="U48" s="25"/>
      <c r="V48" s="25"/>
      <c r="W48" s="28"/>
      <c r="X48" s="118"/>
    </row>
    <row r="49" spans="1:24" s="162" customFormat="1" ht="21.95" hidden="1" customHeight="1">
      <c r="A49" s="110" t="s">
        <v>1202</v>
      </c>
      <c r="B49" s="110" t="s">
        <v>1203</v>
      </c>
      <c r="C49" s="110" t="str">
        <f t="shared" ref="C49:C56" si="6">A49&amp;B49</f>
        <v>후렉시블콘넥터16C 비방수</v>
      </c>
      <c r="D49" s="99" t="s">
        <v>1204</v>
      </c>
      <c r="E49" s="475">
        <f t="shared" si="5"/>
        <v>229</v>
      </c>
      <c r="F49" s="99"/>
      <c r="G49" s="475">
        <v>229</v>
      </c>
      <c r="H49" s="26">
        <v>1107</v>
      </c>
      <c r="I49" s="27">
        <v>240</v>
      </c>
      <c r="J49" s="24">
        <v>1235</v>
      </c>
      <c r="K49" s="27">
        <v>710</v>
      </c>
      <c r="L49" s="122"/>
      <c r="M49" s="475"/>
      <c r="N49" s="475"/>
      <c r="O49" s="23"/>
      <c r="P49" s="25"/>
      <c r="Q49" s="25"/>
      <c r="R49" s="25"/>
      <c r="S49" s="25"/>
      <c r="T49" s="25"/>
      <c r="U49" s="25"/>
      <c r="V49" s="25"/>
      <c r="W49" s="28"/>
      <c r="X49" s="118"/>
    </row>
    <row r="50" spans="1:24" s="162" customFormat="1" ht="21.95" hidden="1" customHeight="1">
      <c r="A50" s="110" t="s">
        <v>1202</v>
      </c>
      <c r="B50" s="110" t="s">
        <v>1268</v>
      </c>
      <c r="C50" s="110" t="str">
        <f t="shared" si="6"/>
        <v>후렉시블콘넥터22C 비방수</v>
      </c>
      <c r="D50" s="99" t="s">
        <v>595</v>
      </c>
      <c r="E50" s="475">
        <f t="shared" si="5"/>
        <v>338</v>
      </c>
      <c r="F50" s="99"/>
      <c r="G50" s="475">
        <v>338</v>
      </c>
      <c r="H50" s="26">
        <v>1107</v>
      </c>
      <c r="I50" s="27">
        <v>400</v>
      </c>
      <c r="J50" s="24" t="s">
        <v>1205</v>
      </c>
      <c r="K50" s="27">
        <v>900</v>
      </c>
      <c r="L50" s="122"/>
      <c r="M50" s="475"/>
      <c r="N50" s="475"/>
      <c r="O50" s="23"/>
      <c r="P50" s="25"/>
      <c r="Q50" s="25"/>
      <c r="R50" s="25"/>
      <c r="S50" s="25"/>
      <c r="T50" s="25"/>
      <c r="U50" s="25"/>
      <c r="V50" s="25"/>
      <c r="W50" s="28"/>
      <c r="X50" s="118"/>
    </row>
    <row r="51" spans="1:24" s="162" customFormat="1" ht="21.95" hidden="1" customHeight="1">
      <c r="A51" s="110" t="s">
        <v>1202</v>
      </c>
      <c r="B51" s="110" t="s">
        <v>1316</v>
      </c>
      <c r="C51" s="110" t="str">
        <f>A51&amp;B51</f>
        <v>후렉시블콘넥터16C 방수</v>
      </c>
      <c r="D51" s="99" t="s">
        <v>595</v>
      </c>
      <c r="E51" s="475">
        <f>MIN(G51,I51,K51,L51,M51)</f>
        <v>495</v>
      </c>
      <c r="F51" s="99"/>
      <c r="G51" s="475">
        <v>567</v>
      </c>
      <c r="H51" s="26">
        <v>1107</v>
      </c>
      <c r="I51" s="27">
        <v>600</v>
      </c>
      <c r="J51" s="24">
        <v>1232</v>
      </c>
      <c r="K51" s="27">
        <v>495</v>
      </c>
      <c r="L51" s="122"/>
      <c r="M51" s="475"/>
      <c r="N51" s="475"/>
      <c r="O51" s="23"/>
      <c r="P51" s="25"/>
      <c r="Q51" s="25"/>
      <c r="R51" s="25"/>
      <c r="S51" s="25"/>
      <c r="T51" s="25"/>
      <c r="U51" s="25"/>
      <c r="V51" s="25"/>
      <c r="W51" s="28"/>
      <c r="X51" s="118"/>
    </row>
    <row r="52" spans="1:24" s="162" customFormat="1" ht="21.95" hidden="1" customHeight="1">
      <c r="A52" s="110" t="s">
        <v>1202</v>
      </c>
      <c r="B52" s="110" t="s">
        <v>1206</v>
      </c>
      <c r="C52" s="110" t="str">
        <f t="shared" si="6"/>
        <v>후렉시블콘넥터22C 방수</v>
      </c>
      <c r="D52" s="99" t="s">
        <v>1204</v>
      </c>
      <c r="E52" s="475">
        <f t="shared" si="5"/>
        <v>719</v>
      </c>
      <c r="F52" s="99"/>
      <c r="G52" s="475">
        <v>719</v>
      </c>
      <c r="H52" s="26">
        <v>1107</v>
      </c>
      <c r="I52" s="27">
        <v>800</v>
      </c>
      <c r="J52" s="24">
        <v>1232</v>
      </c>
      <c r="K52" s="27">
        <v>940</v>
      </c>
      <c r="L52" s="122"/>
      <c r="M52" s="475"/>
      <c r="N52" s="475"/>
      <c r="O52" s="23"/>
      <c r="P52" s="25"/>
      <c r="Q52" s="25"/>
      <c r="R52" s="25"/>
      <c r="S52" s="25"/>
      <c r="T52" s="25"/>
      <c r="U52" s="25"/>
      <c r="V52" s="25"/>
      <c r="W52" s="28"/>
      <c r="X52" s="118"/>
    </row>
    <row r="53" spans="1:24" s="162" customFormat="1" ht="21.95" hidden="1" customHeight="1">
      <c r="A53" s="110" t="s">
        <v>1202</v>
      </c>
      <c r="B53" s="110" t="s">
        <v>1263</v>
      </c>
      <c r="C53" s="110" t="str">
        <f t="shared" si="6"/>
        <v>후렉시블콘넥터28C 방수</v>
      </c>
      <c r="D53" s="99" t="s">
        <v>595</v>
      </c>
      <c r="E53" s="475">
        <f t="shared" si="5"/>
        <v>1000</v>
      </c>
      <c r="F53" s="99"/>
      <c r="G53" s="475">
        <v>1000</v>
      </c>
      <c r="H53" s="26">
        <v>1107</v>
      </c>
      <c r="I53" s="27">
        <v>1000</v>
      </c>
      <c r="J53" s="24">
        <v>1232</v>
      </c>
      <c r="K53" s="27">
        <v>1100</v>
      </c>
      <c r="L53" s="122"/>
      <c r="M53" s="475"/>
      <c r="N53" s="475"/>
      <c r="O53" s="23"/>
      <c r="P53" s="25"/>
      <c r="Q53" s="25"/>
      <c r="R53" s="25"/>
      <c r="S53" s="25"/>
      <c r="T53" s="25"/>
      <c r="U53" s="25"/>
      <c r="V53" s="25"/>
      <c r="W53" s="28"/>
      <c r="X53" s="118"/>
    </row>
    <row r="54" spans="1:24" s="162" customFormat="1" ht="21.95" hidden="1" customHeight="1">
      <c r="A54" s="110" t="s">
        <v>1202</v>
      </c>
      <c r="B54" s="110" t="s">
        <v>1269</v>
      </c>
      <c r="C54" s="110" t="str">
        <f t="shared" si="6"/>
        <v>후렉시블콘넥터36C 방수</v>
      </c>
      <c r="D54" s="99" t="s">
        <v>595</v>
      </c>
      <c r="E54" s="475">
        <f t="shared" si="5"/>
        <v>1400</v>
      </c>
      <c r="F54" s="99"/>
      <c r="G54" s="475">
        <v>1550</v>
      </c>
      <c r="H54" s="26">
        <v>1107</v>
      </c>
      <c r="I54" s="27">
        <v>1400</v>
      </c>
      <c r="J54" s="24">
        <v>1232</v>
      </c>
      <c r="K54" s="27">
        <v>1430</v>
      </c>
      <c r="L54" s="122"/>
      <c r="M54" s="475"/>
      <c r="N54" s="475"/>
      <c r="O54" s="23"/>
      <c r="P54" s="25"/>
      <c r="Q54" s="25"/>
      <c r="R54" s="25"/>
      <c r="S54" s="25"/>
      <c r="T54" s="25"/>
      <c r="U54" s="25"/>
      <c r="V54" s="25"/>
      <c r="W54" s="28"/>
      <c r="X54" s="118"/>
    </row>
    <row r="55" spans="1:24" s="162" customFormat="1" ht="21.95" hidden="1" customHeight="1">
      <c r="A55" s="110" t="s">
        <v>1202</v>
      </c>
      <c r="B55" s="110" t="s">
        <v>1338</v>
      </c>
      <c r="C55" s="110" t="str">
        <f t="shared" ref="C55" si="7">A55&amp;B55</f>
        <v>후렉시블콘넥터42C 방수</v>
      </c>
      <c r="D55" s="99" t="s">
        <v>595</v>
      </c>
      <c r="E55" s="475">
        <f t="shared" ref="E55" si="8">MIN(G55,I55,K55,L55,M55)</f>
        <v>2000</v>
      </c>
      <c r="F55" s="99"/>
      <c r="G55" s="475">
        <v>2130</v>
      </c>
      <c r="H55" s="26">
        <v>1107</v>
      </c>
      <c r="I55" s="27">
        <v>2000</v>
      </c>
      <c r="J55" s="24">
        <v>1232</v>
      </c>
      <c r="K55" s="27">
        <v>2300</v>
      </c>
      <c r="L55" s="122"/>
      <c r="M55" s="475"/>
      <c r="N55" s="475"/>
      <c r="O55" s="23"/>
      <c r="P55" s="25"/>
      <c r="Q55" s="25"/>
      <c r="R55" s="25"/>
      <c r="S55" s="25"/>
      <c r="T55" s="25"/>
      <c r="U55" s="25"/>
      <c r="V55" s="25"/>
      <c r="W55" s="28"/>
      <c r="X55" s="118"/>
    </row>
    <row r="56" spans="1:24" s="162" customFormat="1" ht="21.95" hidden="1" customHeight="1">
      <c r="A56" s="110" t="s">
        <v>1202</v>
      </c>
      <c r="B56" s="110" t="s">
        <v>1303</v>
      </c>
      <c r="C56" s="110" t="str">
        <f t="shared" si="6"/>
        <v>후렉시블콘넥터54C 방수</v>
      </c>
      <c r="D56" s="99" t="s">
        <v>595</v>
      </c>
      <c r="E56" s="475">
        <f>MIN(G56,I56,K56,L56,M56)</f>
        <v>2700</v>
      </c>
      <c r="F56" s="99"/>
      <c r="G56" s="475">
        <v>2980</v>
      </c>
      <c r="H56" s="26">
        <v>1107</v>
      </c>
      <c r="I56" s="27">
        <v>2700</v>
      </c>
      <c r="J56" s="24" t="s">
        <v>1339</v>
      </c>
      <c r="K56" s="27">
        <v>2970</v>
      </c>
      <c r="L56" s="122"/>
      <c r="M56" s="475"/>
      <c r="N56" s="475"/>
      <c r="O56" s="23"/>
      <c r="P56" s="25"/>
      <c r="Q56" s="25"/>
      <c r="R56" s="25"/>
      <c r="S56" s="25"/>
      <c r="T56" s="25"/>
      <c r="U56" s="25"/>
      <c r="V56" s="25"/>
      <c r="W56" s="28"/>
      <c r="X56" s="118"/>
    </row>
    <row r="57" spans="1:24" s="162" customFormat="1" ht="21.95" hidden="1" customHeight="1">
      <c r="A57" s="110" t="s">
        <v>1319</v>
      </c>
      <c r="B57" s="110" t="s">
        <v>1335</v>
      </c>
      <c r="C57" s="110" t="str">
        <f>A57&amp;B57</f>
        <v>노말밴드HI PVC 36C</v>
      </c>
      <c r="D57" s="99" t="s">
        <v>595</v>
      </c>
      <c r="E57" s="475">
        <f>MIN(G57,I57,K57,L57,M57)</f>
        <v>835</v>
      </c>
      <c r="F57" s="99"/>
      <c r="G57" s="475">
        <v>835</v>
      </c>
      <c r="H57" s="26">
        <v>1113</v>
      </c>
      <c r="I57" s="27">
        <v>1190</v>
      </c>
      <c r="J57" s="24">
        <v>1233</v>
      </c>
      <c r="K57" s="27">
        <v>1360</v>
      </c>
      <c r="L57" s="122"/>
      <c r="M57" s="475"/>
      <c r="N57" s="475"/>
      <c r="O57" s="23"/>
      <c r="P57" s="25"/>
      <c r="Q57" s="25"/>
      <c r="R57" s="25"/>
      <c r="S57" s="25"/>
      <c r="T57" s="25"/>
      <c r="U57" s="25"/>
      <c r="V57" s="25"/>
      <c r="W57" s="28"/>
      <c r="X57" s="118"/>
    </row>
    <row r="58" spans="1:24" s="162" customFormat="1" ht="21.95" hidden="1" customHeight="1">
      <c r="A58" s="110" t="s">
        <v>1319</v>
      </c>
      <c r="B58" s="110" t="s">
        <v>1320</v>
      </c>
      <c r="C58" s="110" t="str">
        <f>A58&amp;B58</f>
        <v>노말밴드HI PVC 42C</v>
      </c>
      <c r="D58" s="99" t="s">
        <v>595</v>
      </c>
      <c r="E58" s="475">
        <f>MIN(G58,I58,K58,L58,M58)</f>
        <v>1104</v>
      </c>
      <c r="F58" s="99"/>
      <c r="G58" s="475">
        <v>1104</v>
      </c>
      <c r="H58" s="26">
        <v>1113</v>
      </c>
      <c r="I58" s="27">
        <v>1450</v>
      </c>
      <c r="J58" s="24">
        <v>1233</v>
      </c>
      <c r="K58" s="27">
        <v>1193</v>
      </c>
      <c r="L58" s="122"/>
      <c r="M58" s="475"/>
      <c r="N58" s="475"/>
      <c r="O58" s="23"/>
      <c r="P58" s="25"/>
      <c r="Q58" s="25"/>
      <c r="R58" s="25"/>
      <c r="S58" s="25"/>
      <c r="T58" s="25"/>
      <c r="U58" s="25"/>
      <c r="V58" s="25"/>
      <c r="W58" s="28"/>
      <c r="X58" s="118"/>
    </row>
    <row r="59" spans="1:24" s="162" customFormat="1" ht="21.95" hidden="1" customHeight="1">
      <c r="A59" s="110" t="s">
        <v>1319</v>
      </c>
      <c r="B59" s="110" t="s">
        <v>1336</v>
      </c>
      <c r="C59" s="110" t="str">
        <f>A59&amp;B59</f>
        <v>노말밴드HI PVC 70C</v>
      </c>
      <c r="D59" s="99" t="s">
        <v>595</v>
      </c>
      <c r="E59" s="475">
        <f>MIN(G59,I59,K59,L59,M59)</f>
        <v>3225</v>
      </c>
      <c r="F59" s="99"/>
      <c r="G59" s="475">
        <v>3225</v>
      </c>
      <c r="H59" s="26">
        <v>1107</v>
      </c>
      <c r="I59" s="27">
        <v>12420</v>
      </c>
      <c r="J59" s="24" t="s">
        <v>1340</v>
      </c>
      <c r="K59" s="27">
        <v>6072</v>
      </c>
      <c r="L59" s="122"/>
      <c r="M59" s="475"/>
      <c r="N59" s="475"/>
      <c r="O59" s="23"/>
      <c r="P59" s="25"/>
      <c r="Q59" s="25"/>
      <c r="R59" s="25"/>
      <c r="S59" s="25"/>
      <c r="T59" s="25"/>
      <c r="U59" s="25"/>
      <c r="V59" s="25"/>
      <c r="W59" s="28"/>
      <c r="X59" s="118"/>
    </row>
    <row r="60" spans="1:24" s="162" customFormat="1" ht="21.95" hidden="1" customHeight="1">
      <c r="A60" s="110" t="s">
        <v>391</v>
      </c>
      <c r="B60" s="110" t="s">
        <v>173</v>
      </c>
      <c r="C60" s="110" t="str">
        <f t="shared" si="4"/>
        <v>0.6/1KV난연케이블F-CV 1/C 4㎟</v>
      </c>
      <c r="D60" s="99" t="s">
        <v>407</v>
      </c>
      <c r="E60" s="475">
        <f t="shared" ref="E60:E137" si="9">MIN(G60,I60,K60,L60,M60)</f>
        <v>781</v>
      </c>
      <c r="F60" s="99"/>
      <c r="G60" s="475"/>
      <c r="H60" s="23">
        <v>1084</v>
      </c>
      <c r="I60" s="27">
        <v>781</v>
      </c>
      <c r="J60" s="24" t="s">
        <v>603</v>
      </c>
      <c r="K60" s="27">
        <v>799</v>
      </c>
      <c r="L60" s="122"/>
      <c r="M60" s="475"/>
      <c r="N60" s="475"/>
      <c r="O60" s="23"/>
      <c r="P60" s="25"/>
      <c r="Q60" s="25"/>
      <c r="R60" s="25"/>
      <c r="S60" s="25"/>
      <c r="T60" s="25"/>
      <c r="U60" s="25"/>
      <c r="V60" s="25"/>
      <c r="W60" s="28"/>
      <c r="X60" s="124" t="s">
        <v>498</v>
      </c>
    </row>
    <row r="61" spans="1:24" s="162" customFormat="1" ht="21.95" hidden="1" customHeight="1">
      <c r="A61" s="110" t="s">
        <v>391</v>
      </c>
      <c r="B61" s="110" t="s">
        <v>7</v>
      </c>
      <c r="C61" s="110" t="str">
        <f t="shared" si="4"/>
        <v>0.6/1KV난연케이블F-CV 1/C 6㎟</v>
      </c>
      <c r="D61" s="99" t="s">
        <v>407</v>
      </c>
      <c r="E61" s="475">
        <f t="shared" si="9"/>
        <v>923</v>
      </c>
      <c r="F61" s="99"/>
      <c r="G61" s="475"/>
      <c r="H61" s="23">
        <v>1084</v>
      </c>
      <c r="I61" s="27">
        <v>923</v>
      </c>
      <c r="J61" s="24" t="s">
        <v>603</v>
      </c>
      <c r="K61" s="27">
        <v>932</v>
      </c>
      <c r="L61" s="122"/>
      <c r="M61" s="475"/>
      <c r="N61" s="475"/>
      <c r="O61" s="23"/>
      <c r="P61" s="25"/>
      <c r="Q61" s="25"/>
      <c r="R61" s="25"/>
      <c r="S61" s="25"/>
      <c r="T61" s="25"/>
      <c r="U61" s="25"/>
      <c r="V61" s="25"/>
      <c r="W61" s="28"/>
      <c r="X61" s="124" t="s">
        <v>498</v>
      </c>
    </row>
    <row r="62" spans="1:24" s="162" customFormat="1" ht="21.95" hidden="1" customHeight="1">
      <c r="A62" s="110" t="s">
        <v>391</v>
      </c>
      <c r="B62" s="110" t="s">
        <v>8</v>
      </c>
      <c r="C62" s="110" t="str">
        <f t="shared" si="4"/>
        <v>0.6/1KV난연케이블F-CV 1/C 10㎟</v>
      </c>
      <c r="D62" s="99" t="s">
        <v>407</v>
      </c>
      <c r="E62" s="475">
        <f t="shared" si="9"/>
        <v>1041</v>
      </c>
      <c r="F62" s="99"/>
      <c r="G62" s="475">
        <v>1041</v>
      </c>
      <c r="H62" s="23">
        <v>1084</v>
      </c>
      <c r="I62" s="27">
        <v>1541</v>
      </c>
      <c r="J62" s="24" t="s">
        <v>860</v>
      </c>
      <c r="K62" s="27">
        <v>1554</v>
      </c>
      <c r="L62" s="122"/>
      <c r="M62" s="475"/>
      <c r="N62" s="475"/>
      <c r="O62" s="23"/>
      <c r="P62" s="25"/>
      <c r="Q62" s="25"/>
      <c r="R62" s="25"/>
      <c r="S62" s="25"/>
      <c r="T62" s="25"/>
      <c r="U62" s="25"/>
      <c r="V62" s="25"/>
      <c r="W62" s="28"/>
      <c r="X62" s="124" t="s">
        <v>498</v>
      </c>
    </row>
    <row r="63" spans="1:24" s="162" customFormat="1" ht="21.95" hidden="1" customHeight="1">
      <c r="A63" s="110" t="s">
        <v>391</v>
      </c>
      <c r="B63" s="110" t="s">
        <v>397</v>
      </c>
      <c r="C63" s="110" t="str">
        <f t="shared" si="4"/>
        <v>0.6/1KV난연케이블F-CV 1/C 25㎟</v>
      </c>
      <c r="D63" s="99" t="s">
        <v>407</v>
      </c>
      <c r="E63" s="475">
        <f t="shared" si="9"/>
        <v>2144</v>
      </c>
      <c r="F63" s="99"/>
      <c r="G63" s="475">
        <v>2144</v>
      </c>
      <c r="H63" s="23">
        <v>1083</v>
      </c>
      <c r="I63" s="27">
        <v>2310</v>
      </c>
      <c r="J63" s="24" t="s">
        <v>1002</v>
      </c>
      <c r="K63" s="27">
        <v>2508</v>
      </c>
      <c r="L63" s="122"/>
      <c r="M63" s="475"/>
      <c r="N63" s="475"/>
      <c r="O63" s="23"/>
      <c r="P63" s="25"/>
      <c r="Q63" s="25"/>
      <c r="R63" s="25"/>
      <c r="S63" s="25"/>
      <c r="T63" s="25"/>
      <c r="U63" s="25"/>
      <c r="V63" s="25"/>
      <c r="W63" s="28"/>
      <c r="X63" s="124" t="s">
        <v>498</v>
      </c>
    </row>
    <row r="64" spans="1:24" s="162" customFormat="1" ht="21.95" hidden="1" customHeight="1">
      <c r="A64" s="110" t="s">
        <v>391</v>
      </c>
      <c r="B64" s="110" t="s">
        <v>420</v>
      </c>
      <c r="C64" s="110" t="str">
        <f t="shared" ref="C64:C105" si="10">A64&amp;B64</f>
        <v>0.6/1KV난연케이블F-CV 1/C 35㎟</v>
      </c>
      <c r="D64" s="99" t="s">
        <v>407</v>
      </c>
      <c r="E64" s="475">
        <f t="shared" si="9"/>
        <v>2932</v>
      </c>
      <c r="F64" s="99"/>
      <c r="G64" s="475">
        <v>2932</v>
      </c>
      <c r="H64" s="23">
        <v>1083</v>
      </c>
      <c r="I64" s="27">
        <v>3325</v>
      </c>
      <c r="J64" s="24">
        <v>1210</v>
      </c>
      <c r="K64" s="27">
        <v>3707</v>
      </c>
      <c r="L64" s="122"/>
      <c r="M64" s="475"/>
      <c r="N64" s="475"/>
      <c r="O64" s="23"/>
      <c r="P64" s="25"/>
      <c r="Q64" s="25"/>
      <c r="R64" s="25"/>
      <c r="S64" s="25"/>
      <c r="T64" s="25"/>
      <c r="U64" s="25"/>
      <c r="V64" s="25"/>
      <c r="W64" s="28"/>
      <c r="X64" s="124" t="s">
        <v>498</v>
      </c>
    </row>
    <row r="65" spans="1:24" s="162" customFormat="1" ht="21.95" customHeight="1">
      <c r="A65" s="110" t="s">
        <v>1824</v>
      </c>
      <c r="B65" s="110" t="s">
        <v>421</v>
      </c>
      <c r="C65" s="110" t="str">
        <f t="shared" si="10"/>
        <v>0.6/1KV난연케이블F-CV 1/C 50㎟</v>
      </c>
      <c r="D65" s="99" t="s">
        <v>407</v>
      </c>
      <c r="E65" s="475">
        <f t="shared" si="9"/>
        <v>10515</v>
      </c>
      <c r="F65" s="99"/>
      <c r="G65" s="475">
        <v>10515</v>
      </c>
      <c r="H65" s="23">
        <v>1075</v>
      </c>
      <c r="I65" s="27">
        <v>12871</v>
      </c>
      <c r="J65" s="24">
        <v>1179</v>
      </c>
      <c r="K65" s="27">
        <v>11168</v>
      </c>
      <c r="L65" s="122"/>
      <c r="M65" s="475"/>
      <c r="N65" s="475"/>
      <c r="O65" s="23"/>
      <c r="P65" s="25"/>
      <c r="Q65" s="25"/>
      <c r="R65" s="25"/>
      <c r="S65" s="25"/>
      <c r="T65" s="25"/>
      <c r="U65" s="25"/>
      <c r="V65" s="25"/>
      <c r="W65" s="28"/>
      <c r="X65" s="124" t="s">
        <v>498</v>
      </c>
    </row>
    <row r="66" spans="1:24" s="162" customFormat="1" ht="21.95" hidden="1" customHeight="1">
      <c r="A66" s="110" t="s">
        <v>391</v>
      </c>
      <c r="B66" s="110" t="s">
        <v>400</v>
      </c>
      <c r="C66" s="110" t="str">
        <f t="shared" si="10"/>
        <v>0.6/1KV난연케이블F-CV 1/C 70㎟</v>
      </c>
      <c r="D66" s="99" t="s">
        <v>407</v>
      </c>
      <c r="E66" s="475">
        <f t="shared" si="9"/>
        <v>14662</v>
      </c>
      <c r="F66" s="99"/>
      <c r="G66" s="475">
        <v>14662</v>
      </c>
      <c r="H66" s="23">
        <v>1075</v>
      </c>
      <c r="I66" s="27">
        <v>18545</v>
      </c>
      <c r="J66" s="24">
        <v>1179</v>
      </c>
      <c r="K66" s="27">
        <v>16091</v>
      </c>
      <c r="L66" s="122"/>
      <c r="M66" s="475"/>
      <c r="N66" s="475"/>
      <c r="O66" s="23"/>
      <c r="P66" s="25"/>
      <c r="Q66" s="25"/>
      <c r="R66" s="25"/>
      <c r="S66" s="25"/>
      <c r="T66" s="25"/>
      <c r="U66" s="25"/>
      <c r="V66" s="25"/>
      <c r="W66" s="28"/>
      <c r="X66" s="124" t="s">
        <v>498</v>
      </c>
    </row>
    <row r="67" spans="1:24" s="162" customFormat="1" ht="21.95" hidden="1" customHeight="1">
      <c r="A67" s="110" t="s">
        <v>391</v>
      </c>
      <c r="B67" s="110" t="s">
        <v>746</v>
      </c>
      <c r="C67" s="110" t="str">
        <f t="shared" si="10"/>
        <v>0.6/1KV난연케이블F-CV 1/C 95㎟</v>
      </c>
      <c r="D67" s="99" t="s">
        <v>407</v>
      </c>
      <c r="E67" s="475">
        <f t="shared" si="9"/>
        <v>18247</v>
      </c>
      <c r="F67" s="99"/>
      <c r="G67" s="475">
        <v>18247</v>
      </c>
      <c r="H67" s="23">
        <v>1075</v>
      </c>
      <c r="I67" s="27">
        <v>25149</v>
      </c>
      <c r="J67" s="24">
        <v>1179</v>
      </c>
      <c r="K67" s="27">
        <v>22006</v>
      </c>
      <c r="L67" s="122"/>
      <c r="M67" s="475"/>
      <c r="N67" s="475"/>
      <c r="O67" s="23"/>
      <c r="P67" s="25"/>
      <c r="Q67" s="25"/>
      <c r="R67" s="25"/>
      <c r="S67" s="25"/>
      <c r="T67" s="25"/>
      <c r="U67" s="25"/>
      <c r="V67" s="25"/>
      <c r="W67" s="28"/>
      <c r="X67" s="124" t="s">
        <v>498</v>
      </c>
    </row>
    <row r="68" spans="1:24" s="162" customFormat="1" ht="21.95" hidden="1" customHeight="1">
      <c r="A68" s="110" t="s">
        <v>391</v>
      </c>
      <c r="B68" s="110" t="s">
        <v>697</v>
      </c>
      <c r="C68" s="110" t="str">
        <f t="shared" si="10"/>
        <v>0.6/1KV난연케이블F-CV 1/C 120㎟</v>
      </c>
      <c r="D68" s="99" t="s">
        <v>407</v>
      </c>
      <c r="E68" s="475">
        <f t="shared" si="9"/>
        <v>22843</v>
      </c>
      <c r="F68" s="99"/>
      <c r="G68" s="475">
        <v>22843</v>
      </c>
      <c r="H68" s="23">
        <v>1075</v>
      </c>
      <c r="I68" s="27">
        <v>31357</v>
      </c>
      <c r="J68" s="24">
        <v>1179</v>
      </c>
      <c r="K68" s="27">
        <v>27436</v>
      </c>
      <c r="L68" s="122"/>
      <c r="M68" s="475"/>
      <c r="N68" s="475"/>
      <c r="O68" s="23"/>
      <c r="P68" s="25"/>
      <c r="Q68" s="25"/>
      <c r="R68" s="25"/>
      <c r="S68" s="25"/>
      <c r="T68" s="25"/>
      <c r="U68" s="25"/>
      <c r="V68" s="25"/>
      <c r="W68" s="28"/>
      <c r="X68" s="124" t="s">
        <v>498</v>
      </c>
    </row>
    <row r="69" spans="1:24" s="162" customFormat="1" ht="21.95" hidden="1" customHeight="1">
      <c r="A69" s="110" t="s">
        <v>391</v>
      </c>
      <c r="B69" s="110" t="s">
        <v>632</v>
      </c>
      <c r="C69" s="110" t="str">
        <f t="shared" si="10"/>
        <v>0.6/1KV난연케이블F-CV 1/C 150㎟</v>
      </c>
      <c r="D69" s="99" t="s">
        <v>407</v>
      </c>
      <c r="E69" s="475">
        <f t="shared" si="9"/>
        <v>28151</v>
      </c>
      <c r="F69" s="99"/>
      <c r="G69" s="475">
        <v>28151</v>
      </c>
      <c r="H69" s="23">
        <v>1075</v>
      </c>
      <c r="I69" s="27">
        <v>38748</v>
      </c>
      <c r="J69" s="24">
        <v>1179</v>
      </c>
      <c r="K69" s="27">
        <v>33904</v>
      </c>
      <c r="L69" s="122"/>
      <c r="M69" s="475"/>
      <c r="N69" s="475"/>
      <c r="O69" s="23"/>
      <c r="P69" s="25"/>
      <c r="Q69" s="25"/>
      <c r="R69" s="25"/>
      <c r="S69" s="25"/>
      <c r="T69" s="25"/>
      <c r="U69" s="25"/>
      <c r="V69" s="25"/>
      <c r="W69" s="28"/>
      <c r="X69" s="124" t="s">
        <v>498</v>
      </c>
    </row>
    <row r="70" spans="1:24" s="162" customFormat="1" ht="21.95" hidden="1" customHeight="1">
      <c r="A70" s="110" t="s">
        <v>391</v>
      </c>
      <c r="B70" s="110" t="s">
        <v>274</v>
      </c>
      <c r="C70" s="110" t="str">
        <f t="shared" si="10"/>
        <v>0.6/1KV난연케이블F-CV 1/C 185㎟</v>
      </c>
      <c r="D70" s="99" t="s">
        <v>407</v>
      </c>
      <c r="E70" s="475">
        <f t="shared" si="9"/>
        <v>34832</v>
      </c>
      <c r="F70" s="99"/>
      <c r="G70" s="475">
        <v>34832</v>
      </c>
      <c r="H70" s="23">
        <v>1075</v>
      </c>
      <c r="I70" s="27">
        <v>48254</v>
      </c>
      <c r="J70" s="24">
        <v>1179</v>
      </c>
      <c r="K70" s="27">
        <v>42223</v>
      </c>
      <c r="L70" s="122"/>
      <c r="M70" s="475"/>
      <c r="N70" s="475"/>
      <c r="O70" s="23"/>
      <c r="P70" s="25"/>
      <c r="Q70" s="25"/>
      <c r="R70" s="25"/>
      <c r="S70" s="25"/>
      <c r="T70" s="25"/>
      <c r="U70" s="25"/>
      <c r="V70" s="25"/>
      <c r="W70" s="28"/>
      <c r="X70" s="124" t="s">
        <v>498</v>
      </c>
    </row>
    <row r="71" spans="1:24" s="162" customFormat="1" ht="21.95" customHeight="1">
      <c r="A71" s="110" t="s">
        <v>391</v>
      </c>
      <c r="B71" s="110" t="s">
        <v>154</v>
      </c>
      <c r="C71" s="110" t="str">
        <f t="shared" si="10"/>
        <v>0.6/1KV난연케이블F-CV 1/C 240㎟</v>
      </c>
      <c r="D71" s="99" t="s">
        <v>407</v>
      </c>
      <c r="E71" s="475">
        <f t="shared" si="9"/>
        <v>44891</v>
      </c>
      <c r="F71" s="99"/>
      <c r="G71" s="475">
        <v>44891</v>
      </c>
      <c r="H71" s="23">
        <v>1075</v>
      </c>
      <c r="I71" s="27">
        <v>63067</v>
      </c>
      <c r="J71" s="24">
        <v>1179</v>
      </c>
      <c r="K71" s="27">
        <v>55183</v>
      </c>
      <c r="L71" s="122"/>
      <c r="M71" s="475"/>
      <c r="N71" s="475"/>
      <c r="O71" s="23"/>
      <c r="P71" s="25"/>
      <c r="Q71" s="25"/>
      <c r="R71" s="25"/>
      <c r="S71" s="25"/>
      <c r="T71" s="25"/>
      <c r="U71" s="25"/>
      <c r="V71" s="25"/>
      <c r="W71" s="28"/>
      <c r="X71" s="124" t="s">
        <v>498</v>
      </c>
    </row>
    <row r="72" spans="1:24" s="162" customFormat="1" ht="21.95" hidden="1" customHeight="1">
      <c r="A72" s="110" t="s">
        <v>391</v>
      </c>
      <c r="B72" s="110" t="s">
        <v>83</v>
      </c>
      <c r="C72" s="110" t="str">
        <f t="shared" si="10"/>
        <v>0.6/1KV난연케이블F-CV 1/C 300㎟</v>
      </c>
      <c r="D72" s="99" t="s">
        <v>407</v>
      </c>
      <c r="E72" s="475">
        <f t="shared" si="9"/>
        <v>57151</v>
      </c>
      <c r="F72" s="99"/>
      <c r="G72" s="475">
        <v>57151</v>
      </c>
      <c r="H72" s="23">
        <v>1075</v>
      </c>
      <c r="I72" s="27">
        <v>79184</v>
      </c>
      <c r="J72" s="24">
        <v>1179</v>
      </c>
      <c r="K72" s="27">
        <v>69284</v>
      </c>
      <c r="L72" s="122"/>
      <c r="M72" s="475"/>
      <c r="N72" s="475"/>
      <c r="O72" s="23"/>
      <c r="P72" s="25"/>
      <c r="Q72" s="25"/>
      <c r="R72" s="25"/>
      <c r="S72" s="25"/>
      <c r="T72" s="25"/>
      <c r="U72" s="25"/>
      <c r="V72" s="25"/>
      <c r="W72" s="28"/>
      <c r="X72" s="124" t="s">
        <v>498</v>
      </c>
    </row>
    <row r="73" spans="1:24" s="162" customFormat="1" ht="21.95" hidden="1" customHeight="1">
      <c r="A73" s="110" t="s">
        <v>391</v>
      </c>
      <c r="B73" s="110" t="s">
        <v>422</v>
      </c>
      <c r="C73" s="110" t="str">
        <f t="shared" si="10"/>
        <v>0.6/1KV난연케이블F-CV 2/C 2.5㎟</v>
      </c>
      <c r="D73" s="99" t="s">
        <v>407</v>
      </c>
      <c r="E73" s="475">
        <f t="shared" si="9"/>
        <v>1842</v>
      </c>
      <c r="F73" s="99"/>
      <c r="G73" s="475">
        <v>1842</v>
      </c>
      <c r="H73" s="23">
        <v>1075</v>
      </c>
      <c r="I73" s="27">
        <v>2333</v>
      </c>
      <c r="J73" s="24">
        <v>1179</v>
      </c>
      <c r="K73" s="27">
        <v>1971</v>
      </c>
      <c r="L73" s="122"/>
      <c r="M73" s="475"/>
      <c r="N73" s="475"/>
      <c r="O73" s="23"/>
      <c r="P73" s="25"/>
      <c r="Q73" s="25"/>
      <c r="R73" s="25"/>
      <c r="S73" s="25"/>
      <c r="T73" s="25"/>
      <c r="U73" s="25"/>
      <c r="V73" s="25"/>
      <c r="W73" s="28"/>
      <c r="X73" s="124" t="s">
        <v>499</v>
      </c>
    </row>
    <row r="74" spans="1:24" s="162" customFormat="1" ht="21.95" hidden="1" customHeight="1">
      <c r="A74" s="110" t="s">
        <v>391</v>
      </c>
      <c r="B74" s="110" t="s">
        <v>423</v>
      </c>
      <c r="C74" s="110" t="str">
        <f t="shared" si="10"/>
        <v>0.6/1KV난연케이블F-CV 2/C 4㎟</v>
      </c>
      <c r="D74" s="99" t="s">
        <v>407</v>
      </c>
      <c r="E74" s="475">
        <f t="shared" si="9"/>
        <v>2548</v>
      </c>
      <c r="F74" s="99"/>
      <c r="G74" s="475">
        <v>2548</v>
      </c>
      <c r="H74" s="23">
        <v>1075</v>
      </c>
      <c r="I74" s="27">
        <v>3169</v>
      </c>
      <c r="J74" s="24">
        <v>1179</v>
      </c>
      <c r="K74" s="27">
        <v>2678</v>
      </c>
      <c r="L74" s="122"/>
      <c r="M74" s="475"/>
      <c r="N74" s="475"/>
      <c r="O74" s="23"/>
      <c r="P74" s="25"/>
      <c r="Q74" s="25"/>
      <c r="R74" s="25"/>
      <c r="S74" s="25"/>
      <c r="T74" s="25"/>
      <c r="U74" s="25"/>
      <c r="V74" s="25"/>
      <c r="W74" s="28"/>
      <c r="X74" s="124" t="s">
        <v>499</v>
      </c>
    </row>
    <row r="75" spans="1:24" s="162" customFormat="1" ht="21.95" hidden="1" customHeight="1">
      <c r="A75" s="110" t="s">
        <v>391</v>
      </c>
      <c r="B75" s="110" t="s">
        <v>424</v>
      </c>
      <c r="C75" s="110" t="str">
        <f t="shared" si="10"/>
        <v>0.6/1KV난연케이블F-CV 2/C 6㎟</v>
      </c>
      <c r="D75" s="99" t="s">
        <v>407</v>
      </c>
      <c r="E75" s="475">
        <f t="shared" si="9"/>
        <v>3453</v>
      </c>
      <c r="F75" s="99"/>
      <c r="G75" s="475">
        <v>3453</v>
      </c>
      <c r="H75" s="23">
        <v>1075</v>
      </c>
      <c r="I75" s="27">
        <v>4264</v>
      </c>
      <c r="J75" s="24">
        <v>1179</v>
      </c>
      <c r="K75" s="27">
        <v>3601</v>
      </c>
      <c r="L75" s="122"/>
      <c r="M75" s="475"/>
      <c r="N75" s="475"/>
      <c r="O75" s="23"/>
      <c r="P75" s="25"/>
      <c r="Q75" s="25"/>
      <c r="R75" s="25"/>
      <c r="S75" s="25"/>
      <c r="T75" s="25"/>
      <c r="U75" s="25"/>
      <c r="V75" s="25"/>
      <c r="W75" s="28"/>
      <c r="X75" s="124" t="s">
        <v>499</v>
      </c>
    </row>
    <row r="76" spans="1:24" s="162" customFormat="1" ht="21.95" customHeight="1">
      <c r="A76" s="110" t="s">
        <v>391</v>
      </c>
      <c r="B76" s="110" t="s">
        <v>425</v>
      </c>
      <c r="C76" s="110" t="str">
        <f t="shared" si="10"/>
        <v>0.6/1KV난연케이블F-CV 2/C 10㎟</v>
      </c>
      <c r="D76" s="99" t="s">
        <v>407</v>
      </c>
      <c r="E76" s="475">
        <f t="shared" si="9"/>
        <v>5105</v>
      </c>
      <c r="F76" s="99"/>
      <c r="G76" s="475">
        <v>5105</v>
      </c>
      <c r="H76" s="23">
        <v>1075</v>
      </c>
      <c r="I76" s="27">
        <v>6655</v>
      </c>
      <c r="J76" s="24">
        <v>1179</v>
      </c>
      <c r="K76" s="27">
        <v>5670</v>
      </c>
      <c r="L76" s="122"/>
      <c r="M76" s="475"/>
      <c r="N76" s="475"/>
      <c r="O76" s="23"/>
      <c r="P76" s="25"/>
      <c r="Q76" s="25"/>
      <c r="R76" s="25"/>
      <c r="S76" s="25"/>
      <c r="T76" s="25"/>
      <c r="U76" s="25"/>
      <c r="V76" s="25"/>
      <c r="W76" s="28"/>
      <c r="X76" s="124" t="s">
        <v>499</v>
      </c>
    </row>
    <row r="77" spans="1:24" s="162" customFormat="1" ht="21.95" hidden="1" customHeight="1">
      <c r="A77" s="110" t="s">
        <v>391</v>
      </c>
      <c r="B77" s="110" t="s">
        <v>426</v>
      </c>
      <c r="C77" s="110" t="str">
        <f t="shared" si="10"/>
        <v>0.6/1KV난연케이블F-CV 2/C 16㎟</v>
      </c>
      <c r="D77" s="99" t="s">
        <v>407</v>
      </c>
      <c r="E77" s="475">
        <f t="shared" si="9"/>
        <v>8024</v>
      </c>
      <c r="F77" s="99"/>
      <c r="G77" s="475">
        <v>8024</v>
      </c>
      <c r="H77" s="23">
        <v>1075</v>
      </c>
      <c r="I77" s="27">
        <v>9628</v>
      </c>
      <c r="J77" s="24">
        <v>1179</v>
      </c>
      <c r="K77" s="27">
        <v>8284</v>
      </c>
      <c r="L77" s="122"/>
      <c r="M77" s="475"/>
      <c r="N77" s="475"/>
      <c r="O77" s="23"/>
      <c r="P77" s="25"/>
      <c r="Q77" s="25"/>
      <c r="R77" s="25"/>
      <c r="S77" s="25"/>
      <c r="T77" s="25"/>
      <c r="U77" s="25"/>
      <c r="V77" s="25"/>
      <c r="W77" s="28"/>
      <c r="X77" s="124" t="s">
        <v>341</v>
      </c>
    </row>
    <row r="78" spans="1:24" s="162" customFormat="1" ht="21.95" hidden="1" customHeight="1">
      <c r="A78" s="110" t="s">
        <v>391</v>
      </c>
      <c r="B78" s="110" t="s">
        <v>77</v>
      </c>
      <c r="C78" s="110" t="str">
        <f t="shared" si="10"/>
        <v>0.6/1KV난연케이블F-CV 2/C 25㎟</v>
      </c>
      <c r="D78" s="99" t="s">
        <v>407</v>
      </c>
      <c r="E78" s="475">
        <f t="shared" si="9"/>
        <v>12424</v>
      </c>
      <c r="F78" s="99"/>
      <c r="G78" s="475">
        <v>12424</v>
      </c>
      <c r="H78" s="23">
        <v>1075</v>
      </c>
      <c r="I78" s="27">
        <v>14960</v>
      </c>
      <c r="J78" s="24">
        <v>1179</v>
      </c>
      <c r="K78" s="27">
        <v>12871</v>
      </c>
      <c r="L78" s="122"/>
      <c r="M78" s="475"/>
      <c r="N78" s="475"/>
      <c r="O78" s="23"/>
      <c r="P78" s="25"/>
      <c r="Q78" s="25"/>
      <c r="R78" s="25"/>
      <c r="S78" s="25"/>
      <c r="T78" s="25"/>
      <c r="U78" s="25"/>
      <c r="V78" s="25"/>
      <c r="W78" s="28"/>
      <c r="X78" s="124" t="s">
        <v>341</v>
      </c>
    </row>
    <row r="79" spans="1:24" s="162" customFormat="1" ht="21.95" hidden="1" customHeight="1">
      <c r="A79" s="110" t="s">
        <v>391</v>
      </c>
      <c r="B79" s="110" t="s">
        <v>867</v>
      </c>
      <c r="C79" s="110" t="str">
        <f>A79&amp;B79</f>
        <v>0.6/1KV난연케이블F-CV 2/C 35㎟</v>
      </c>
      <c r="D79" s="99" t="s">
        <v>407</v>
      </c>
      <c r="E79" s="475">
        <f>MIN(G79,I79,K79,L79,M79)</f>
        <v>2388</v>
      </c>
      <c r="F79" s="99"/>
      <c r="G79" s="475">
        <v>2388</v>
      </c>
      <c r="H79" s="23">
        <v>1075</v>
      </c>
      <c r="I79" s="27">
        <v>3218</v>
      </c>
      <c r="J79" s="24">
        <v>1179</v>
      </c>
      <c r="K79" s="27">
        <v>2718</v>
      </c>
      <c r="L79" s="122"/>
      <c r="M79" s="475"/>
      <c r="N79" s="475"/>
      <c r="O79" s="23"/>
      <c r="P79" s="25"/>
      <c r="Q79" s="25"/>
      <c r="R79" s="25"/>
      <c r="S79" s="25"/>
      <c r="T79" s="25"/>
      <c r="U79" s="25"/>
      <c r="V79" s="25"/>
      <c r="W79" s="28"/>
      <c r="X79" s="124" t="s">
        <v>341</v>
      </c>
    </row>
    <row r="80" spans="1:24" s="162" customFormat="1" ht="21.95" hidden="1" customHeight="1">
      <c r="A80" s="110" t="s">
        <v>391</v>
      </c>
      <c r="B80" s="110" t="s">
        <v>427</v>
      </c>
      <c r="C80" s="110" t="str">
        <f t="shared" si="10"/>
        <v>0.6/1KV난연케이블F-CV 3/C 2.5㎟</v>
      </c>
      <c r="D80" s="99" t="s">
        <v>407</v>
      </c>
      <c r="E80" s="475">
        <f t="shared" si="9"/>
        <v>3368</v>
      </c>
      <c r="F80" s="99"/>
      <c r="G80" s="475">
        <v>3368</v>
      </c>
      <c r="H80" s="23">
        <v>1075</v>
      </c>
      <c r="I80" s="27">
        <v>4352</v>
      </c>
      <c r="J80" s="24">
        <v>1179</v>
      </c>
      <c r="K80" s="27">
        <v>3676</v>
      </c>
      <c r="L80" s="122"/>
      <c r="M80" s="475"/>
      <c r="N80" s="475"/>
      <c r="O80" s="23"/>
      <c r="P80" s="25"/>
      <c r="Q80" s="25"/>
      <c r="R80" s="25"/>
      <c r="S80" s="25"/>
      <c r="T80" s="25"/>
      <c r="U80" s="25"/>
      <c r="V80" s="25"/>
      <c r="W80" s="28"/>
      <c r="X80" s="124" t="s">
        <v>499</v>
      </c>
    </row>
    <row r="81" spans="1:24" s="162" customFormat="1" ht="21.95" hidden="1" customHeight="1">
      <c r="A81" s="110" t="s">
        <v>391</v>
      </c>
      <c r="B81" s="110" t="s">
        <v>428</v>
      </c>
      <c r="C81" s="110" t="str">
        <f t="shared" si="10"/>
        <v>0.6/1KV난연케이블F-CV 3/C 4㎟</v>
      </c>
      <c r="D81" s="99" t="s">
        <v>407</v>
      </c>
      <c r="E81" s="475">
        <f t="shared" si="9"/>
        <v>4640</v>
      </c>
      <c r="F81" s="99"/>
      <c r="G81" s="475">
        <v>4640</v>
      </c>
      <c r="H81" s="23">
        <v>1075</v>
      </c>
      <c r="I81" s="27">
        <v>5924</v>
      </c>
      <c r="J81" s="24">
        <v>1179</v>
      </c>
      <c r="K81" s="27">
        <v>5004</v>
      </c>
      <c r="L81" s="122"/>
      <c r="M81" s="475"/>
      <c r="N81" s="475"/>
      <c r="O81" s="23"/>
      <c r="P81" s="25"/>
      <c r="Q81" s="25"/>
      <c r="R81" s="25"/>
      <c r="S81" s="25"/>
      <c r="T81" s="25"/>
      <c r="U81" s="25"/>
      <c r="V81" s="25"/>
      <c r="W81" s="28"/>
      <c r="X81" s="124" t="s">
        <v>499</v>
      </c>
    </row>
    <row r="82" spans="1:24" s="162" customFormat="1" ht="21.95" hidden="1" customHeight="1">
      <c r="A82" s="110" t="s">
        <v>391</v>
      </c>
      <c r="B82" s="110" t="s">
        <v>429</v>
      </c>
      <c r="C82" s="110" t="str">
        <f t="shared" si="10"/>
        <v>0.6/1KV난연케이블F-CV 3/C 6㎟</v>
      </c>
      <c r="D82" s="99" t="s">
        <v>407</v>
      </c>
      <c r="E82" s="475">
        <f t="shared" si="9"/>
        <v>7538</v>
      </c>
      <c r="F82" s="99"/>
      <c r="G82" s="475">
        <v>7538</v>
      </c>
      <c r="H82" s="23">
        <v>1075</v>
      </c>
      <c r="I82" s="27">
        <v>9365</v>
      </c>
      <c r="J82" s="24">
        <v>1179</v>
      </c>
      <c r="K82" s="27">
        <v>7978</v>
      </c>
      <c r="L82" s="122"/>
      <c r="M82" s="475"/>
      <c r="N82" s="475"/>
      <c r="O82" s="23"/>
      <c r="P82" s="25">
        <v>1</v>
      </c>
      <c r="Q82" s="25"/>
      <c r="R82" s="25"/>
      <c r="S82" s="25"/>
      <c r="T82" s="25"/>
      <c r="U82" s="25"/>
      <c r="V82" s="25"/>
      <c r="W82" s="28"/>
      <c r="X82" s="124" t="s">
        <v>499</v>
      </c>
    </row>
    <row r="83" spans="1:24" s="162" customFormat="1" ht="21.95" hidden="1" customHeight="1">
      <c r="A83" s="110" t="s">
        <v>391</v>
      </c>
      <c r="B83" s="110" t="s">
        <v>525</v>
      </c>
      <c r="C83" s="110" t="str">
        <f t="shared" si="10"/>
        <v>0.6/1KV난연케이블F-CV 3/C 10㎟</v>
      </c>
      <c r="D83" s="99" t="s">
        <v>407</v>
      </c>
      <c r="E83" s="475">
        <f t="shared" si="9"/>
        <v>11440</v>
      </c>
      <c r="F83" s="99"/>
      <c r="G83" s="475">
        <v>11440</v>
      </c>
      <c r="H83" s="23">
        <v>1075</v>
      </c>
      <c r="I83" s="27">
        <v>13789</v>
      </c>
      <c r="J83" s="24">
        <v>1179</v>
      </c>
      <c r="K83" s="27">
        <v>11865</v>
      </c>
      <c r="L83" s="122"/>
      <c r="M83" s="475"/>
      <c r="N83" s="475"/>
      <c r="O83" s="23"/>
      <c r="P83" s="25"/>
      <c r="Q83" s="25"/>
      <c r="R83" s="25"/>
      <c r="S83" s="25"/>
      <c r="T83" s="25"/>
      <c r="U83" s="25"/>
      <c r="V83" s="25"/>
      <c r="W83" s="28"/>
      <c r="X83" s="124" t="s">
        <v>341</v>
      </c>
    </row>
    <row r="84" spans="1:24" s="162" customFormat="1" ht="21.95" hidden="1" customHeight="1">
      <c r="A84" s="110" t="s">
        <v>391</v>
      </c>
      <c r="B84" s="110" t="s">
        <v>430</v>
      </c>
      <c r="C84" s="110" t="str">
        <f t="shared" si="10"/>
        <v>0.6/1KV난연케이블F-CV 3/C 16㎟</v>
      </c>
      <c r="D84" s="99" t="s">
        <v>407</v>
      </c>
      <c r="E84" s="475">
        <f t="shared" si="9"/>
        <v>17546</v>
      </c>
      <c r="F84" s="99"/>
      <c r="G84" s="475">
        <v>17546</v>
      </c>
      <c r="H84" s="23">
        <v>1075</v>
      </c>
      <c r="I84" s="27">
        <v>21612</v>
      </c>
      <c r="J84" s="24">
        <v>1179</v>
      </c>
      <c r="K84" s="27">
        <v>18594</v>
      </c>
      <c r="L84" s="122"/>
      <c r="M84" s="475"/>
      <c r="N84" s="475"/>
      <c r="O84" s="23"/>
      <c r="P84" s="25"/>
      <c r="Q84" s="25"/>
      <c r="R84" s="25"/>
      <c r="S84" s="25"/>
      <c r="T84" s="25"/>
      <c r="U84" s="25"/>
      <c r="V84" s="25"/>
      <c r="W84" s="28"/>
      <c r="X84" s="124" t="s">
        <v>341</v>
      </c>
    </row>
    <row r="85" spans="1:24" s="162" customFormat="1" ht="21.95" hidden="1" customHeight="1">
      <c r="A85" s="110" t="s">
        <v>391</v>
      </c>
      <c r="B85" s="110" t="s">
        <v>1010</v>
      </c>
      <c r="C85" s="110" t="str">
        <f>A85&amp;B85</f>
        <v>0.6/1KV난연케이블F-CV 3/C 70㎟</v>
      </c>
      <c r="D85" s="99" t="s">
        <v>407</v>
      </c>
      <c r="E85" s="475">
        <f>MIN(G85,I85,K85,L85,M85)</f>
        <v>23513</v>
      </c>
      <c r="F85" s="99"/>
      <c r="G85" s="475">
        <v>23513</v>
      </c>
      <c r="H85" s="23">
        <v>1075</v>
      </c>
      <c r="I85" s="27">
        <v>29519</v>
      </c>
      <c r="J85" s="24">
        <v>1179</v>
      </c>
      <c r="K85" s="27">
        <v>25614</v>
      </c>
      <c r="L85" s="122"/>
      <c r="M85" s="475"/>
      <c r="N85" s="475"/>
      <c r="O85" s="23"/>
      <c r="P85" s="25"/>
      <c r="Q85" s="25"/>
      <c r="R85" s="25"/>
      <c r="S85" s="25"/>
      <c r="T85" s="25"/>
      <c r="U85" s="25"/>
      <c r="V85" s="25"/>
      <c r="W85" s="28"/>
      <c r="X85" s="124" t="s">
        <v>341</v>
      </c>
    </row>
    <row r="86" spans="1:24" s="162" customFormat="1" ht="21.95" hidden="1" customHeight="1">
      <c r="A86" s="110" t="s">
        <v>391</v>
      </c>
      <c r="B86" s="110" t="s">
        <v>431</v>
      </c>
      <c r="C86" s="110" t="str">
        <f t="shared" si="10"/>
        <v>0.6/1KV난연케이블F-CV 4/C 2.5㎟</v>
      </c>
      <c r="D86" s="99" t="s">
        <v>407</v>
      </c>
      <c r="E86" s="475">
        <f t="shared" si="9"/>
        <v>2983</v>
      </c>
      <c r="F86" s="99"/>
      <c r="G86" s="475">
        <v>2983</v>
      </c>
      <c r="H86" s="23">
        <v>1075</v>
      </c>
      <c r="I86" s="27">
        <v>3889</v>
      </c>
      <c r="J86" s="24">
        <v>1179</v>
      </c>
      <c r="K86" s="27">
        <v>3285</v>
      </c>
      <c r="L86" s="122"/>
      <c r="M86" s="475"/>
      <c r="N86" s="475"/>
      <c r="O86" s="23"/>
      <c r="P86" s="25"/>
      <c r="Q86" s="25"/>
      <c r="R86" s="25"/>
      <c r="S86" s="25"/>
      <c r="T86" s="25"/>
      <c r="U86" s="25"/>
      <c r="V86" s="25"/>
      <c r="W86" s="28"/>
      <c r="X86" s="124" t="s">
        <v>499</v>
      </c>
    </row>
    <row r="87" spans="1:24" s="162" customFormat="1" ht="21.95" hidden="1" customHeight="1">
      <c r="A87" s="110" t="s">
        <v>391</v>
      </c>
      <c r="B87" s="110" t="s">
        <v>432</v>
      </c>
      <c r="C87" s="110" t="str">
        <f t="shared" si="10"/>
        <v>0.6/1KV난연케이블F-CV 4/C 4㎟</v>
      </c>
      <c r="D87" s="99" t="s">
        <v>407</v>
      </c>
      <c r="E87" s="475">
        <f t="shared" si="9"/>
        <v>4207</v>
      </c>
      <c r="F87" s="99"/>
      <c r="G87" s="475">
        <v>4207</v>
      </c>
      <c r="H87" s="23">
        <v>1075</v>
      </c>
      <c r="I87" s="27">
        <v>5594</v>
      </c>
      <c r="J87" s="24">
        <v>1179</v>
      </c>
      <c r="K87" s="27">
        <v>4726</v>
      </c>
      <c r="L87" s="122"/>
      <c r="M87" s="475"/>
      <c r="N87" s="475"/>
      <c r="O87" s="23"/>
      <c r="P87" s="25"/>
      <c r="Q87" s="25"/>
      <c r="R87" s="25"/>
      <c r="S87" s="25"/>
      <c r="T87" s="25"/>
      <c r="U87" s="25"/>
      <c r="V87" s="25"/>
      <c r="W87" s="28"/>
      <c r="X87" s="124" t="s">
        <v>499</v>
      </c>
    </row>
    <row r="88" spans="1:24" s="162" customFormat="1" ht="21.95" hidden="1" customHeight="1">
      <c r="A88" s="110" t="s">
        <v>391</v>
      </c>
      <c r="B88" s="110" t="s">
        <v>433</v>
      </c>
      <c r="C88" s="110" t="str">
        <f t="shared" si="10"/>
        <v>0.6/1KV난연케이블F-CV 4/C 6㎟</v>
      </c>
      <c r="D88" s="99" t="s">
        <v>407</v>
      </c>
      <c r="E88" s="475">
        <f t="shared" si="9"/>
        <v>6028</v>
      </c>
      <c r="F88" s="99"/>
      <c r="G88" s="475">
        <v>6028</v>
      </c>
      <c r="H88" s="23">
        <v>1075</v>
      </c>
      <c r="I88" s="27">
        <v>7674</v>
      </c>
      <c r="J88" s="24">
        <v>1179</v>
      </c>
      <c r="K88" s="27">
        <v>6483</v>
      </c>
      <c r="L88" s="122"/>
      <c r="M88" s="475"/>
      <c r="N88" s="475"/>
      <c r="O88" s="23"/>
      <c r="P88" s="25"/>
      <c r="Q88" s="25"/>
      <c r="R88" s="25"/>
      <c r="S88" s="25"/>
      <c r="T88" s="25"/>
      <c r="U88" s="25"/>
      <c r="V88" s="25"/>
      <c r="W88" s="28"/>
      <c r="X88" s="124" t="s">
        <v>499</v>
      </c>
    </row>
    <row r="89" spans="1:24" s="162" customFormat="1" ht="21.95" hidden="1" customHeight="1">
      <c r="A89" s="110" t="s">
        <v>391</v>
      </c>
      <c r="B89" s="110" t="s">
        <v>401</v>
      </c>
      <c r="C89" s="110" t="str">
        <f t="shared" si="10"/>
        <v>0.6/1KV난연케이블F-CV 4/C 10㎟</v>
      </c>
      <c r="D89" s="99" t="s">
        <v>407</v>
      </c>
      <c r="E89" s="475">
        <f t="shared" si="9"/>
        <v>9566</v>
      </c>
      <c r="F89" s="99"/>
      <c r="G89" s="475">
        <v>9566</v>
      </c>
      <c r="H89" s="23">
        <v>1075</v>
      </c>
      <c r="I89" s="27">
        <v>12368</v>
      </c>
      <c r="J89" s="24">
        <v>1179</v>
      </c>
      <c r="K89" s="27">
        <v>10539</v>
      </c>
      <c r="L89" s="122"/>
      <c r="M89" s="475"/>
      <c r="N89" s="475"/>
      <c r="O89" s="23"/>
      <c r="P89" s="25"/>
      <c r="Q89" s="25"/>
      <c r="R89" s="25"/>
      <c r="S89" s="25"/>
      <c r="T89" s="25"/>
      <c r="U89" s="25"/>
      <c r="V89" s="25"/>
      <c r="W89" s="28"/>
      <c r="X89" s="124" t="s">
        <v>499</v>
      </c>
    </row>
    <row r="90" spans="1:24" s="162" customFormat="1" ht="21.95" customHeight="1">
      <c r="A90" s="110" t="s">
        <v>391</v>
      </c>
      <c r="B90" s="110" t="s">
        <v>434</v>
      </c>
      <c r="C90" s="110" t="str">
        <f t="shared" si="10"/>
        <v>0.6/1KV난연케이블F-CV 4/C 16㎟</v>
      </c>
      <c r="D90" s="99" t="s">
        <v>407</v>
      </c>
      <c r="E90" s="475">
        <f t="shared" si="9"/>
        <v>15126</v>
      </c>
      <c r="F90" s="99"/>
      <c r="G90" s="475">
        <v>15126</v>
      </c>
      <c r="H90" s="23">
        <v>1075</v>
      </c>
      <c r="I90" s="27">
        <v>18085</v>
      </c>
      <c r="J90" s="24">
        <v>1179</v>
      </c>
      <c r="K90" s="27">
        <v>15561</v>
      </c>
      <c r="L90" s="122"/>
      <c r="M90" s="475"/>
      <c r="N90" s="475"/>
      <c r="O90" s="23"/>
      <c r="P90" s="25"/>
      <c r="Q90" s="25"/>
      <c r="R90" s="25"/>
      <c r="S90" s="25"/>
      <c r="T90" s="25"/>
      <c r="U90" s="25"/>
      <c r="V90" s="25"/>
      <c r="W90" s="28"/>
      <c r="X90" s="124" t="s">
        <v>341</v>
      </c>
    </row>
    <row r="91" spans="1:24" s="162" customFormat="1" ht="21.95" hidden="1" customHeight="1">
      <c r="A91" s="110" t="s">
        <v>703</v>
      </c>
      <c r="B91" s="110" t="s">
        <v>402</v>
      </c>
      <c r="C91" s="110" t="str">
        <f t="shared" si="10"/>
        <v>0.6/1KV내화케이블F-CV 4/C 25㎟</v>
      </c>
      <c r="D91" s="99" t="s">
        <v>407</v>
      </c>
      <c r="E91" s="475">
        <f t="shared" si="9"/>
        <v>17019</v>
      </c>
      <c r="F91" s="99"/>
      <c r="G91" s="475">
        <v>17019</v>
      </c>
      <c r="H91" s="23">
        <v>1083</v>
      </c>
      <c r="I91" s="27">
        <v>19711</v>
      </c>
      <c r="J91" s="24">
        <v>1210</v>
      </c>
      <c r="K91" s="27">
        <v>20861</v>
      </c>
      <c r="L91" s="122"/>
      <c r="M91" s="475"/>
      <c r="N91" s="475"/>
      <c r="O91" s="23"/>
      <c r="P91" s="25"/>
      <c r="Q91" s="25"/>
      <c r="R91" s="25"/>
      <c r="S91" s="25"/>
      <c r="T91" s="25"/>
      <c r="U91" s="25"/>
      <c r="V91" s="25"/>
      <c r="W91" s="28"/>
      <c r="X91" s="124" t="s">
        <v>341</v>
      </c>
    </row>
    <row r="92" spans="1:24" s="162" customFormat="1" ht="21.95" customHeight="1">
      <c r="A92" s="110" t="s">
        <v>703</v>
      </c>
      <c r="B92" s="110" t="s">
        <v>1821</v>
      </c>
      <c r="C92" s="110" t="str">
        <f t="shared" si="10"/>
        <v>0.6/1KV내화케이블FR-8 1/C 240㎟</v>
      </c>
      <c r="D92" s="99" t="s">
        <v>407</v>
      </c>
      <c r="E92" s="475">
        <f t="shared" si="9"/>
        <v>47382</v>
      </c>
      <c r="F92" s="99"/>
      <c r="G92" s="475">
        <v>47382</v>
      </c>
      <c r="H92" s="23">
        <v>1078</v>
      </c>
      <c r="I92" s="27">
        <v>75119</v>
      </c>
      <c r="J92" s="24">
        <v>1179</v>
      </c>
      <c r="K92" s="27">
        <v>61135</v>
      </c>
      <c r="L92" s="122"/>
      <c r="M92" s="475"/>
      <c r="N92" s="475"/>
      <c r="O92" s="23"/>
      <c r="P92" s="25"/>
      <c r="Q92" s="25"/>
      <c r="R92" s="25"/>
      <c r="S92" s="25"/>
      <c r="T92" s="25"/>
      <c r="U92" s="25"/>
      <c r="V92" s="25"/>
      <c r="W92" s="28"/>
      <c r="X92" s="124" t="s">
        <v>341</v>
      </c>
    </row>
    <row r="93" spans="1:24" s="162" customFormat="1" ht="21.95" customHeight="1">
      <c r="A93" s="110" t="s">
        <v>703</v>
      </c>
      <c r="B93" s="110" t="s">
        <v>1700</v>
      </c>
      <c r="C93" s="110" t="str">
        <f>A93&amp;B93</f>
        <v>0.6/1KV내화케이블FR-8 1/C 50㎟</v>
      </c>
      <c r="D93" s="99" t="s">
        <v>407</v>
      </c>
      <c r="E93" s="475">
        <f>MIN(G93,I93,K93,L93,M93)</f>
        <v>11725</v>
      </c>
      <c r="F93" s="99"/>
      <c r="G93" s="475">
        <v>11725</v>
      </c>
      <c r="H93" s="23">
        <v>1078</v>
      </c>
      <c r="I93" s="27">
        <v>15943</v>
      </c>
      <c r="J93" s="24">
        <v>1179</v>
      </c>
      <c r="K93" s="27">
        <v>13190</v>
      </c>
      <c r="L93" s="122"/>
      <c r="M93" s="475"/>
      <c r="N93" s="475"/>
      <c r="O93" s="23"/>
      <c r="P93" s="25"/>
      <c r="Q93" s="25"/>
      <c r="R93" s="25"/>
      <c r="S93" s="25"/>
      <c r="T93" s="25"/>
      <c r="U93" s="25"/>
      <c r="V93" s="25"/>
      <c r="W93" s="28"/>
      <c r="X93" s="124" t="s">
        <v>341</v>
      </c>
    </row>
    <row r="94" spans="1:24" s="162" customFormat="1" ht="21.75" customHeight="1">
      <c r="A94" s="110" t="s">
        <v>703</v>
      </c>
      <c r="B94" s="110" t="s">
        <v>1822</v>
      </c>
      <c r="C94" s="110" t="str">
        <f t="shared" si="10"/>
        <v>0.6/1KV내화케이블FR-8 1/C 95㎟</v>
      </c>
      <c r="D94" s="99" t="s">
        <v>407</v>
      </c>
      <c r="E94" s="475">
        <f t="shared" si="9"/>
        <v>21458</v>
      </c>
      <c r="F94" s="99"/>
      <c r="G94" s="475">
        <v>21458</v>
      </c>
      <c r="H94" s="23">
        <v>1078</v>
      </c>
      <c r="I94" s="27">
        <v>30363</v>
      </c>
      <c r="J94" s="24">
        <v>1179</v>
      </c>
      <c r="K94" s="27">
        <v>25521</v>
      </c>
      <c r="L94" s="122"/>
      <c r="M94" s="475"/>
      <c r="N94" s="475"/>
      <c r="O94" s="23"/>
      <c r="P94" s="25"/>
      <c r="Q94" s="25"/>
      <c r="R94" s="25"/>
      <c r="S94" s="25"/>
      <c r="T94" s="25"/>
      <c r="U94" s="25"/>
      <c r="V94" s="25"/>
      <c r="W94" s="28"/>
      <c r="X94" s="124"/>
    </row>
    <row r="95" spans="1:24" s="162" customFormat="1" ht="21.95" hidden="1" customHeight="1">
      <c r="A95" s="110" t="s">
        <v>703</v>
      </c>
      <c r="B95" s="110" t="s">
        <v>1821</v>
      </c>
      <c r="C95" s="110" t="str">
        <f t="shared" si="10"/>
        <v>0.6/1KV내화케이블FR-8 1/C 240㎟</v>
      </c>
      <c r="D95" s="99" t="s">
        <v>407</v>
      </c>
      <c r="E95" s="475">
        <f t="shared" si="9"/>
        <v>0</v>
      </c>
      <c r="F95" s="99"/>
      <c r="G95" s="475"/>
      <c r="H95" s="23"/>
      <c r="I95" s="27"/>
      <c r="J95" s="24"/>
      <c r="K95" s="27"/>
      <c r="L95" s="122"/>
      <c r="M95" s="475"/>
      <c r="N95" s="475"/>
      <c r="O95" s="23"/>
      <c r="P95" s="25"/>
      <c r="Q95" s="25"/>
      <c r="R95" s="25"/>
      <c r="S95" s="25"/>
      <c r="T95" s="25"/>
      <c r="U95" s="25"/>
      <c r="V95" s="25"/>
      <c r="W95" s="28"/>
      <c r="X95" s="124"/>
    </row>
    <row r="96" spans="1:24" s="162" customFormat="1" ht="21.95" hidden="1" customHeight="1">
      <c r="A96" s="110" t="s">
        <v>1361</v>
      </c>
      <c r="B96" s="123" t="s">
        <v>1347</v>
      </c>
      <c r="C96" s="110" t="str">
        <f t="shared" ref="C96" si="11">A96&amp;B96</f>
        <v>0.6/1KV난연제어케이블F-CVV-S 10/C 1.5㎟</v>
      </c>
      <c r="D96" s="99" t="s">
        <v>407</v>
      </c>
      <c r="E96" s="475">
        <f t="shared" ref="E96" si="12">MIN(G96,I96,K96,L96,M96)</f>
        <v>0</v>
      </c>
      <c r="F96" s="99"/>
      <c r="G96" s="475"/>
      <c r="H96" s="23"/>
      <c r="I96" s="27"/>
      <c r="J96" s="24"/>
      <c r="K96" s="27"/>
      <c r="L96" s="122"/>
      <c r="M96" s="475"/>
      <c r="N96" s="475"/>
      <c r="O96" s="23"/>
      <c r="P96" s="25"/>
      <c r="Q96" s="25"/>
      <c r="R96" s="25"/>
      <c r="S96" s="25"/>
      <c r="T96" s="25"/>
      <c r="U96" s="25"/>
      <c r="V96" s="25"/>
      <c r="W96" s="28"/>
      <c r="X96" s="124" t="s">
        <v>341</v>
      </c>
    </row>
    <row r="97" spans="1:24" s="162" customFormat="1" ht="21.95" hidden="1" customHeight="1">
      <c r="A97" s="110" t="s">
        <v>630</v>
      </c>
      <c r="B97" s="110" t="s">
        <v>1353</v>
      </c>
      <c r="C97" s="110" t="str">
        <f t="shared" ref="C97" si="13">A97&amp;B97</f>
        <v>0.6/1KV내화케이블FR-8 2/C 2.5㎟</v>
      </c>
      <c r="D97" s="99" t="s">
        <v>407</v>
      </c>
      <c r="E97" s="475">
        <f t="shared" ref="E97" si="14">MIN(G97,I97,K97,L97,M97)</f>
        <v>0</v>
      </c>
      <c r="F97" s="99"/>
      <c r="G97" s="475"/>
      <c r="H97" s="23"/>
      <c r="I97" s="27"/>
      <c r="J97" s="24"/>
      <c r="K97" s="27"/>
      <c r="L97" s="122"/>
      <c r="M97" s="475"/>
      <c r="N97" s="475"/>
      <c r="O97" s="23"/>
      <c r="P97" s="25"/>
      <c r="Q97" s="25"/>
      <c r="R97" s="25"/>
      <c r="S97" s="25"/>
      <c r="T97" s="25"/>
      <c r="U97" s="25"/>
      <c r="V97" s="25"/>
      <c r="W97" s="28"/>
      <c r="X97" s="124"/>
    </row>
    <row r="98" spans="1:24" s="162" customFormat="1" ht="21.95" hidden="1" customHeight="1">
      <c r="A98" s="110" t="s">
        <v>630</v>
      </c>
      <c r="B98" s="110" t="s">
        <v>135</v>
      </c>
      <c r="C98" s="110" t="str">
        <f t="shared" si="10"/>
        <v>0.6/1KV내화케이블FR-8 2/C 4㎟</v>
      </c>
      <c r="D98" s="99" t="s">
        <v>407</v>
      </c>
      <c r="E98" s="475">
        <f t="shared" si="9"/>
        <v>0</v>
      </c>
      <c r="F98" s="99"/>
      <c r="G98" s="475"/>
      <c r="H98" s="23"/>
      <c r="I98" s="27"/>
      <c r="J98" s="24"/>
      <c r="K98" s="27"/>
      <c r="L98" s="122"/>
      <c r="M98" s="475"/>
      <c r="N98" s="475"/>
      <c r="O98" s="23"/>
      <c r="P98" s="25"/>
      <c r="Q98" s="25"/>
      <c r="R98" s="25"/>
      <c r="S98" s="25"/>
      <c r="T98" s="25"/>
      <c r="U98" s="25"/>
      <c r="V98" s="25"/>
      <c r="W98" s="28"/>
      <c r="X98" s="124"/>
    </row>
    <row r="99" spans="1:24" s="162" customFormat="1" ht="21.95" hidden="1" customHeight="1">
      <c r="A99" s="110" t="s">
        <v>630</v>
      </c>
      <c r="B99" s="110" t="s">
        <v>1264</v>
      </c>
      <c r="C99" s="110" t="str">
        <f>A99&amp;B99</f>
        <v>0.6/1KV내화케이블FR-8 2/C 6㎟</v>
      </c>
      <c r="D99" s="99" t="s">
        <v>407</v>
      </c>
      <c r="E99" s="475">
        <f>MIN(G99,I99,K99,L99,M99)</f>
        <v>0</v>
      </c>
      <c r="F99" s="99"/>
      <c r="G99" s="475"/>
      <c r="H99" s="23"/>
      <c r="I99" s="27"/>
      <c r="J99" s="24"/>
      <c r="K99" s="27"/>
      <c r="L99" s="122"/>
      <c r="M99" s="475"/>
      <c r="N99" s="475"/>
      <c r="O99" s="23"/>
      <c r="P99" s="25">
        <v>1</v>
      </c>
      <c r="Q99" s="25"/>
      <c r="R99" s="25"/>
      <c r="S99" s="25"/>
      <c r="T99" s="25"/>
      <c r="U99" s="25"/>
      <c r="V99" s="25"/>
      <c r="W99" s="28"/>
      <c r="X99" s="124"/>
    </row>
    <row r="100" spans="1:24" s="162" customFormat="1" ht="21.95" hidden="1" customHeight="1">
      <c r="A100" s="110" t="s">
        <v>630</v>
      </c>
      <c r="B100" s="110" t="s">
        <v>84</v>
      </c>
      <c r="C100" s="110" t="str">
        <f>A100&amp;B100</f>
        <v>0.6/1KV내화케이블FR-8 3/C 2.5㎟</v>
      </c>
      <c r="D100" s="99" t="s">
        <v>407</v>
      </c>
      <c r="E100" s="475">
        <f t="shared" si="9"/>
        <v>0</v>
      </c>
      <c r="F100" s="99"/>
      <c r="G100" s="475"/>
      <c r="H100" s="23"/>
      <c r="I100" s="27"/>
      <c r="J100" s="24"/>
      <c r="K100" s="27"/>
      <c r="L100" s="122"/>
      <c r="M100" s="475"/>
      <c r="N100" s="475"/>
      <c r="O100" s="23"/>
      <c r="P100" s="25"/>
      <c r="Q100" s="25"/>
      <c r="R100" s="25"/>
      <c r="S100" s="25"/>
      <c r="T100" s="25"/>
      <c r="U100" s="25"/>
      <c r="V100" s="25"/>
      <c r="W100" s="28"/>
      <c r="X100" s="124"/>
    </row>
    <row r="101" spans="1:24" s="162" customFormat="1" ht="21.75" hidden="1" customHeight="1">
      <c r="A101" s="110" t="s">
        <v>630</v>
      </c>
      <c r="B101" s="110" t="s">
        <v>882</v>
      </c>
      <c r="C101" s="110" t="str">
        <f>A101&amp;B101</f>
        <v>0.6/1KV내화케이블FR-8 3/C 4㎟</v>
      </c>
      <c r="D101" s="99" t="s">
        <v>407</v>
      </c>
      <c r="E101" s="475">
        <f>MIN(G101,I101,K101,L101,M101)</f>
        <v>0</v>
      </c>
      <c r="F101" s="99"/>
      <c r="G101" s="475"/>
      <c r="H101" s="23"/>
      <c r="I101" s="27"/>
      <c r="J101" s="24"/>
      <c r="K101" s="27"/>
      <c r="L101" s="122"/>
      <c r="M101" s="475"/>
      <c r="N101" s="475"/>
      <c r="O101" s="23"/>
      <c r="P101" s="25"/>
      <c r="Q101" s="25"/>
      <c r="R101" s="25"/>
      <c r="S101" s="25"/>
      <c r="T101" s="25"/>
      <c r="U101" s="25"/>
      <c r="V101" s="25"/>
      <c r="W101" s="28"/>
      <c r="X101" s="124"/>
    </row>
    <row r="102" spans="1:24" s="162" customFormat="1" ht="21.95" hidden="1" customHeight="1">
      <c r="A102" s="110" t="s">
        <v>630</v>
      </c>
      <c r="B102" s="110" t="s">
        <v>136</v>
      </c>
      <c r="C102" s="110" t="str">
        <f t="shared" si="10"/>
        <v>0.6/1KV내화케이블FR-8 3/C 6㎟</v>
      </c>
      <c r="D102" s="99" t="s">
        <v>407</v>
      </c>
      <c r="E102" s="475">
        <f t="shared" si="9"/>
        <v>0</v>
      </c>
      <c r="F102" s="99"/>
      <c r="G102" s="475"/>
      <c r="H102" s="23"/>
      <c r="I102" s="27"/>
      <c r="J102" s="24"/>
      <c r="K102" s="27"/>
      <c r="L102" s="122"/>
      <c r="M102" s="475"/>
      <c r="N102" s="475"/>
      <c r="O102" s="23"/>
      <c r="P102" s="25"/>
      <c r="Q102" s="25"/>
      <c r="R102" s="25"/>
      <c r="S102" s="25"/>
      <c r="T102" s="25"/>
      <c r="U102" s="25"/>
      <c r="V102" s="25"/>
      <c r="W102" s="28"/>
      <c r="X102" s="124"/>
    </row>
    <row r="103" spans="1:24" s="162" customFormat="1" ht="21.95" hidden="1" customHeight="1">
      <c r="A103" s="110" t="s">
        <v>630</v>
      </c>
      <c r="B103" s="110" t="s">
        <v>1729</v>
      </c>
      <c r="C103" s="110" t="str">
        <f t="shared" si="10"/>
        <v>0.6/1KV내화케이블FR-8 3/C 16㎟</v>
      </c>
      <c r="D103" s="99" t="s">
        <v>407</v>
      </c>
      <c r="E103" s="475">
        <f t="shared" si="9"/>
        <v>0</v>
      </c>
      <c r="F103" s="99"/>
      <c r="G103" s="475"/>
      <c r="H103" s="23"/>
      <c r="I103" s="27"/>
      <c r="J103" s="24"/>
      <c r="K103" s="27"/>
      <c r="L103" s="475"/>
      <c r="M103" s="475"/>
      <c r="N103" s="475"/>
      <c r="O103" s="23"/>
      <c r="P103" s="25"/>
      <c r="Q103" s="25"/>
      <c r="R103" s="25"/>
      <c r="S103" s="25"/>
      <c r="T103" s="25"/>
      <c r="U103" s="25"/>
      <c r="V103" s="25"/>
      <c r="W103" s="28"/>
      <c r="X103" s="124"/>
    </row>
    <row r="104" spans="1:24" s="162" customFormat="1" ht="21.95" hidden="1" customHeight="1">
      <c r="A104" s="110" t="s">
        <v>630</v>
      </c>
      <c r="B104" s="110" t="s">
        <v>863</v>
      </c>
      <c r="C104" s="110" t="str">
        <f>A104&amp;B104</f>
        <v>0.6/1KV내화케이블FR-8 3/C 25㎟</v>
      </c>
      <c r="D104" s="99" t="s">
        <v>407</v>
      </c>
      <c r="E104" s="475">
        <f>MIN(G104,I104,K104,L104,M104)</f>
        <v>0</v>
      </c>
      <c r="F104" s="99"/>
      <c r="G104" s="475"/>
      <c r="H104" s="23"/>
      <c r="I104" s="27"/>
      <c r="J104" s="24"/>
      <c r="K104" s="27"/>
      <c r="L104" s="175"/>
      <c r="M104" s="475"/>
      <c r="N104" s="475"/>
      <c r="O104" s="23"/>
      <c r="P104" s="25"/>
      <c r="Q104" s="25"/>
      <c r="R104" s="25"/>
      <c r="S104" s="25"/>
      <c r="T104" s="25"/>
      <c r="U104" s="25"/>
      <c r="V104" s="25"/>
      <c r="W104" s="28"/>
      <c r="X104" s="124"/>
    </row>
    <row r="105" spans="1:24" s="162" customFormat="1" ht="21.95" hidden="1" customHeight="1">
      <c r="A105" s="110" t="s">
        <v>630</v>
      </c>
      <c r="B105" s="110" t="s">
        <v>762</v>
      </c>
      <c r="C105" s="110" t="str">
        <f t="shared" si="10"/>
        <v>0.6/1KV내화케이블FR-8 4/C 4㎟</v>
      </c>
      <c r="D105" s="99" t="s">
        <v>407</v>
      </c>
      <c r="E105" s="475">
        <f>MIN(G105,I105,K105,L105,M105)</f>
        <v>0</v>
      </c>
      <c r="F105" s="99"/>
      <c r="G105" s="475"/>
      <c r="H105" s="23"/>
      <c r="I105" s="27"/>
      <c r="J105" s="24"/>
      <c r="K105" s="27"/>
      <c r="L105" s="122"/>
      <c r="M105" s="475"/>
      <c r="N105" s="475"/>
      <c r="O105" s="23"/>
      <c r="P105" s="25"/>
      <c r="Q105" s="25"/>
      <c r="R105" s="25"/>
      <c r="S105" s="25"/>
      <c r="T105" s="25"/>
      <c r="U105" s="25"/>
      <c r="V105" s="25"/>
      <c r="W105" s="28"/>
      <c r="X105" s="124"/>
    </row>
    <row r="106" spans="1:24" s="162" customFormat="1" ht="21.95" hidden="1" customHeight="1">
      <c r="A106" s="110" t="s">
        <v>630</v>
      </c>
      <c r="B106" s="110" t="s">
        <v>1011</v>
      </c>
      <c r="C106" s="110" t="str">
        <f t="shared" ref="C106:C114" si="15">A106&amp;B106</f>
        <v>0.6/1KV내화케이블FR-8 4/C 6㎟</v>
      </c>
      <c r="D106" s="99" t="s">
        <v>407</v>
      </c>
      <c r="E106" s="475">
        <f>MIN(G106,I106,K106,L106,M106)</f>
        <v>0</v>
      </c>
      <c r="F106" s="99"/>
      <c r="G106" s="475"/>
      <c r="H106" s="23"/>
      <c r="I106" s="27"/>
      <c r="J106" s="24"/>
      <c r="K106" s="27"/>
      <c r="L106" s="122"/>
      <c r="M106" s="475"/>
      <c r="N106" s="475"/>
      <c r="O106" s="23"/>
      <c r="P106" s="25"/>
      <c r="Q106" s="25"/>
      <c r="R106" s="25"/>
      <c r="S106" s="25"/>
      <c r="T106" s="25"/>
      <c r="U106" s="25"/>
      <c r="V106" s="25"/>
      <c r="W106" s="28"/>
      <c r="X106" s="124"/>
    </row>
    <row r="107" spans="1:24" s="162" customFormat="1" ht="21.95" hidden="1" customHeight="1">
      <c r="A107" s="110" t="s">
        <v>630</v>
      </c>
      <c r="B107" s="110" t="s">
        <v>134</v>
      </c>
      <c r="C107" s="110" t="str">
        <f t="shared" si="15"/>
        <v>0.6/1KV내화케이블FR-8 4/C 10㎟</v>
      </c>
      <c r="D107" s="99" t="s">
        <v>407</v>
      </c>
      <c r="E107" s="475">
        <f t="shared" si="9"/>
        <v>0</v>
      </c>
      <c r="F107" s="99"/>
      <c r="G107" s="475"/>
      <c r="H107" s="23"/>
      <c r="I107" s="27"/>
      <c r="J107" s="24"/>
      <c r="K107" s="27"/>
      <c r="L107" s="122"/>
      <c r="M107" s="475"/>
      <c r="N107" s="475"/>
      <c r="O107" s="23"/>
      <c r="P107" s="25"/>
      <c r="Q107" s="25"/>
      <c r="R107" s="25"/>
      <c r="S107" s="25"/>
      <c r="T107" s="25"/>
      <c r="U107" s="25"/>
      <c r="V107" s="25"/>
      <c r="W107" s="28"/>
      <c r="X107" s="124"/>
    </row>
    <row r="108" spans="1:24" s="162" customFormat="1" ht="21.95" customHeight="1">
      <c r="A108" s="110" t="s">
        <v>630</v>
      </c>
      <c r="B108" s="110" t="s">
        <v>1138</v>
      </c>
      <c r="C108" s="110" t="str">
        <f t="shared" si="15"/>
        <v>0.6/1KV내화케이블FR-8 4/C 16㎟</v>
      </c>
      <c r="D108" s="99" t="s">
        <v>407</v>
      </c>
      <c r="E108" s="475">
        <f>MIN(G108,I108,K108,L108,M108)</f>
        <v>17258</v>
      </c>
      <c r="F108" s="99"/>
      <c r="G108" s="475">
        <v>17258</v>
      </c>
      <c r="H108" s="23">
        <v>1078</v>
      </c>
      <c r="I108" s="27">
        <v>22517</v>
      </c>
      <c r="J108" s="24">
        <v>1179</v>
      </c>
      <c r="K108" s="27">
        <v>18815</v>
      </c>
      <c r="L108" s="122"/>
      <c r="M108" s="475"/>
      <c r="N108" s="475"/>
      <c r="O108" s="23"/>
      <c r="P108" s="25"/>
      <c r="Q108" s="25"/>
      <c r="R108" s="25"/>
      <c r="S108" s="25"/>
      <c r="T108" s="25"/>
      <c r="U108" s="25"/>
      <c r="V108" s="25"/>
      <c r="W108" s="28"/>
      <c r="X108" s="124"/>
    </row>
    <row r="109" spans="1:24" s="162" customFormat="1" ht="21.95" hidden="1" customHeight="1">
      <c r="A109" s="110" t="s">
        <v>630</v>
      </c>
      <c r="B109" s="110" t="s">
        <v>148</v>
      </c>
      <c r="C109" s="110" t="str">
        <f t="shared" si="15"/>
        <v>0.6/1KV내화케이블FR-8 4/C 25㎟</v>
      </c>
      <c r="D109" s="99" t="s">
        <v>407</v>
      </c>
      <c r="E109" s="475">
        <f t="shared" si="9"/>
        <v>0</v>
      </c>
      <c r="F109" s="99"/>
      <c r="G109" s="475"/>
      <c r="H109" s="23"/>
      <c r="I109" s="27"/>
      <c r="J109" s="24"/>
      <c r="K109" s="27"/>
      <c r="L109" s="122"/>
      <c r="M109" s="475"/>
      <c r="N109" s="475"/>
      <c r="O109" s="23"/>
      <c r="P109" s="25"/>
      <c r="Q109" s="25"/>
      <c r="R109" s="25"/>
      <c r="S109" s="25"/>
      <c r="T109" s="25"/>
      <c r="U109" s="25"/>
      <c r="V109" s="25"/>
      <c r="W109" s="28"/>
      <c r="X109" s="124"/>
    </row>
    <row r="110" spans="1:24" s="162" customFormat="1" ht="21.95" customHeight="1">
      <c r="A110" s="110" t="s">
        <v>630</v>
      </c>
      <c r="B110" s="110" t="s">
        <v>1050</v>
      </c>
      <c r="C110" s="110" t="str">
        <f t="shared" si="15"/>
        <v>0.6/1KV내화케이블FR-8 4/C 35㎟</v>
      </c>
      <c r="D110" s="99" t="s">
        <v>407</v>
      </c>
      <c r="E110" s="475">
        <f>MIN(G110,I110,K110,L110,M110)</f>
        <v>37031</v>
      </c>
      <c r="F110" s="99"/>
      <c r="G110" s="475">
        <v>37031</v>
      </c>
      <c r="H110" s="23">
        <v>1078</v>
      </c>
      <c r="I110" s="27">
        <v>48208</v>
      </c>
      <c r="J110" s="24">
        <v>1179</v>
      </c>
      <c r="K110" s="27">
        <v>40314</v>
      </c>
      <c r="L110" s="122"/>
      <c r="M110" s="475"/>
      <c r="N110" s="475"/>
      <c r="O110" s="23"/>
      <c r="P110" s="25"/>
      <c r="Q110" s="25"/>
      <c r="R110" s="25"/>
      <c r="S110" s="25"/>
      <c r="T110" s="25"/>
      <c r="U110" s="25"/>
      <c r="V110" s="25"/>
      <c r="W110" s="28"/>
      <c r="X110" s="124"/>
    </row>
    <row r="111" spans="1:24" s="162" customFormat="1" ht="21.95" hidden="1" customHeight="1">
      <c r="A111" s="110" t="s">
        <v>536</v>
      </c>
      <c r="B111" s="110" t="s">
        <v>537</v>
      </c>
      <c r="C111" s="110" t="str">
        <f t="shared" si="15"/>
        <v>0.6/1KV내열케이블FR-3 2/C 1.5㎟</v>
      </c>
      <c r="D111" s="99" t="s">
        <v>407</v>
      </c>
      <c r="E111" s="475">
        <f>MIN(G111,I111,K111,L111,M111)</f>
        <v>993</v>
      </c>
      <c r="F111" s="99"/>
      <c r="G111" s="475">
        <v>993</v>
      </c>
      <c r="H111" s="23">
        <v>1086</v>
      </c>
      <c r="I111" s="27">
        <v>1157</v>
      </c>
      <c r="J111" s="24" t="s">
        <v>954</v>
      </c>
      <c r="K111" s="27">
        <v>1553</v>
      </c>
      <c r="L111" s="122"/>
      <c r="M111" s="475"/>
      <c r="N111" s="475"/>
      <c r="O111" s="23"/>
      <c r="P111" s="25"/>
      <c r="Q111" s="25"/>
      <c r="R111" s="25"/>
      <c r="S111" s="25"/>
      <c r="T111" s="25"/>
      <c r="U111" s="25"/>
      <c r="V111" s="25"/>
      <c r="W111" s="28"/>
      <c r="X111" s="124"/>
    </row>
    <row r="112" spans="1:24" s="162" customFormat="1" ht="21.95" hidden="1" customHeight="1">
      <c r="A112" s="110" t="s">
        <v>536</v>
      </c>
      <c r="B112" s="110" t="s">
        <v>538</v>
      </c>
      <c r="C112" s="110" t="str">
        <f t="shared" si="15"/>
        <v>0.6/1KV내열케이블FR-3 4/C 1.5㎟</v>
      </c>
      <c r="D112" s="99" t="s">
        <v>407</v>
      </c>
      <c r="E112" s="475">
        <f>MIN(G112,I112,K112,L112,M112)</f>
        <v>1323</v>
      </c>
      <c r="F112" s="99"/>
      <c r="G112" s="475">
        <v>1323</v>
      </c>
      <c r="H112" s="23">
        <v>1085</v>
      </c>
      <c r="I112" s="27">
        <v>1663</v>
      </c>
      <c r="J112" s="24" t="s">
        <v>878</v>
      </c>
      <c r="K112" s="27">
        <v>1962</v>
      </c>
      <c r="L112" s="122"/>
      <c r="M112" s="475"/>
      <c r="N112" s="475"/>
      <c r="O112" s="23"/>
      <c r="P112" s="25"/>
      <c r="Q112" s="25"/>
      <c r="R112" s="25"/>
      <c r="S112" s="25"/>
      <c r="T112" s="25"/>
      <c r="U112" s="25"/>
      <c r="V112" s="25"/>
      <c r="W112" s="28"/>
      <c r="X112" s="124"/>
    </row>
    <row r="113" spans="1:24" s="162" customFormat="1" ht="21.95" hidden="1" customHeight="1">
      <c r="A113" s="110" t="s">
        <v>536</v>
      </c>
      <c r="B113" s="110" t="s">
        <v>862</v>
      </c>
      <c r="C113" s="110" t="str">
        <f t="shared" si="15"/>
        <v>0.6/1KV내열케이블FR-3 3/C 2.5㎟</v>
      </c>
      <c r="D113" s="99" t="s">
        <v>407</v>
      </c>
      <c r="E113" s="475">
        <f>MIN(G113,I113,K113,L113,M113)</f>
        <v>1369</v>
      </c>
      <c r="F113" s="99"/>
      <c r="G113" s="475">
        <v>1369</v>
      </c>
      <c r="H113" s="23">
        <v>1086</v>
      </c>
      <c r="I113" s="27">
        <v>1471</v>
      </c>
      <c r="J113" s="24" t="s">
        <v>878</v>
      </c>
      <c r="K113" s="27">
        <v>2042</v>
      </c>
      <c r="L113" s="122"/>
      <c r="M113" s="475"/>
      <c r="N113" s="475"/>
      <c r="O113" s="23"/>
      <c r="P113" s="25"/>
      <c r="Q113" s="25"/>
      <c r="R113" s="25"/>
      <c r="S113" s="25"/>
      <c r="T113" s="25"/>
      <c r="U113" s="25"/>
      <c r="V113" s="25"/>
      <c r="W113" s="28"/>
      <c r="X113" s="124"/>
    </row>
    <row r="114" spans="1:24" s="162" customFormat="1" ht="21.95" hidden="1" customHeight="1">
      <c r="A114" s="110" t="s">
        <v>536</v>
      </c>
      <c r="B114" s="110" t="s">
        <v>883</v>
      </c>
      <c r="C114" s="110" t="str">
        <f t="shared" si="15"/>
        <v>0.6/1KV내열케이블FR-3 4/C 2.5㎟</v>
      </c>
      <c r="D114" s="99" t="s">
        <v>407</v>
      </c>
      <c r="E114" s="475">
        <f>MIN(G114,I114,K114,L114,M114)</f>
        <v>1628</v>
      </c>
      <c r="F114" s="99"/>
      <c r="G114" s="475">
        <v>1628</v>
      </c>
      <c r="H114" s="23">
        <v>1086</v>
      </c>
      <c r="I114" s="27">
        <v>1737</v>
      </c>
      <c r="J114" s="24" t="s">
        <v>878</v>
      </c>
      <c r="K114" s="27">
        <v>2410</v>
      </c>
      <c r="L114" s="122"/>
      <c r="M114" s="475"/>
      <c r="N114" s="475"/>
      <c r="O114" s="23"/>
      <c r="P114" s="25"/>
      <c r="Q114" s="25"/>
      <c r="R114" s="25"/>
      <c r="S114" s="25"/>
      <c r="T114" s="25"/>
      <c r="U114" s="25"/>
      <c r="V114" s="25"/>
      <c r="W114" s="28"/>
      <c r="X114" s="124"/>
    </row>
    <row r="115" spans="1:24" s="162" customFormat="1" ht="21.95" hidden="1" customHeight="1">
      <c r="A115" s="110" t="s">
        <v>743</v>
      </c>
      <c r="B115" s="110" t="s">
        <v>1730</v>
      </c>
      <c r="C115" s="110" t="str">
        <f t="shared" ref="C115:C126" si="16">A115&amp;B115</f>
        <v>0.6/1KV난연제어케이블F-CVV 5/C 1.5㎟</v>
      </c>
      <c r="D115" s="99" t="s">
        <v>407</v>
      </c>
      <c r="E115" s="475">
        <f t="shared" si="9"/>
        <v>2004</v>
      </c>
      <c r="F115" s="99"/>
      <c r="G115" s="475">
        <v>2004</v>
      </c>
      <c r="H115" s="23">
        <v>1084</v>
      </c>
      <c r="I115" s="27">
        <v>2282</v>
      </c>
      <c r="J115" s="24">
        <v>1210</v>
      </c>
      <c r="K115" s="27">
        <v>2544</v>
      </c>
      <c r="L115" s="122"/>
      <c r="M115" s="475"/>
      <c r="N115" s="475"/>
      <c r="O115" s="23"/>
      <c r="P115" s="25"/>
      <c r="Q115" s="25"/>
      <c r="R115" s="25"/>
      <c r="S115" s="25"/>
      <c r="T115" s="25"/>
      <c r="U115" s="25"/>
      <c r="V115" s="25"/>
      <c r="W115" s="28"/>
      <c r="X115" s="124"/>
    </row>
    <row r="116" spans="1:24" s="162" customFormat="1" ht="21.95" hidden="1" customHeight="1">
      <c r="A116" s="110" t="s">
        <v>743</v>
      </c>
      <c r="B116" s="110" t="s">
        <v>145</v>
      </c>
      <c r="C116" s="110" t="str">
        <f t="shared" si="16"/>
        <v>0.6/1KV난연제어케이블F-CVV 12/C 1.5㎟</v>
      </c>
      <c r="D116" s="99" t="s">
        <v>407</v>
      </c>
      <c r="E116" s="475">
        <f t="shared" si="9"/>
        <v>2551</v>
      </c>
      <c r="F116" s="99"/>
      <c r="G116" s="475">
        <v>2551</v>
      </c>
      <c r="H116" s="23">
        <v>1083</v>
      </c>
      <c r="I116" s="27">
        <v>2653</v>
      </c>
      <c r="J116" s="24">
        <v>1210</v>
      </c>
      <c r="K116" s="27">
        <v>3181</v>
      </c>
      <c r="L116" s="122"/>
      <c r="M116" s="475"/>
      <c r="N116" s="475"/>
      <c r="O116" s="23"/>
      <c r="P116" s="25"/>
      <c r="Q116" s="25"/>
      <c r="R116" s="25"/>
      <c r="S116" s="25"/>
      <c r="T116" s="25"/>
      <c r="U116" s="25"/>
      <c r="V116" s="25"/>
      <c r="W116" s="28"/>
      <c r="X116" s="124"/>
    </row>
    <row r="117" spans="1:24" s="162" customFormat="1" ht="21.95" hidden="1" customHeight="1">
      <c r="A117" s="110" t="s">
        <v>743</v>
      </c>
      <c r="B117" s="110" t="s">
        <v>137</v>
      </c>
      <c r="C117" s="110" t="str">
        <f t="shared" si="16"/>
        <v>0.6/1KV난연제어케이블F-CVV 3/C 1.5㎟</v>
      </c>
      <c r="D117" s="99" t="s">
        <v>407</v>
      </c>
      <c r="E117" s="475">
        <f t="shared" si="9"/>
        <v>920</v>
      </c>
      <c r="F117" s="99"/>
      <c r="G117" s="475">
        <v>920</v>
      </c>
      <c r="H117" s="23">
        <v>1084</v>
      </c>
      <c r="I117" s="27">
        <v>938</v>
      </c>
      <c r="J117" s="24">
        <v>1210</v>
      </c>
      <c r="K117" s="27">
        <v>1032</v>
      </c>
      <c r="L117" s="122"/>
      <c r="M117" s="475"/>
      <c r="N117" s="475"/>
      <c r="O117" s="23"/>
      <c r="P117" s="25"/>
      <c r="Q117" s="25"/>
      <c r="R117" s="25"/>
      <c r="S117" s="25"/>
      <c r="T117" s="25"/>
      <c r="U117" s="25"/>
      <c r="V117" s="25"/>
      <c r="W117" s="28"/>
      <c r="X117" s="384"/>
    </row>
    <row r="118" spans="1:24" s="162" customFormat="1" ht="21.95" hidden="1" customHeight="1">
      <c r="A118" s="110" t="s">
        <v>743</v>
      </c>
      <c r="B118" s="110" t="s">
        <v>864</v>
      </c>
      <c r="C118" s="110" t="str">
        <f>A118&amp;B118</f>
        <v>0.6/1KV난연제어케이블F-CVV 4/C 1.5㎟</v>
      </c>
      <c r="D118" s="99" t="s">
        <v>407</v>
      </c>
      <c r="E118" s="475">
        <f>MIN(G118,I118,K118,L118,M118)</f>
        <v>1086</v>
      </c>
      <c r="F118" s="99"/>
      <c r="G118" s="475">
        <v>1086</v>
      </c>
      <c r="H118" s="23">
        <v>1084</v>
      </c>
      <c r="I118" s="27">
        <v>1100</v>
      </c>
      <c r="J118" s="24">
        <v>1210</v>
      </c>
      <c r="K118" s="27">
        <v>1290</v>
      </c>
      <c r="L118" s="122"/>
      <c r="M118" s="475"/>
      <c r="N118" s="475"/>
      <c r="O118" s="23"/>
      <c r="P118" s="25"/>
      <c r="Q118" s="25"/>
      <c r="R118" s="25"/>
      <c r="S118" s="25"/>
      <c r="T118" s="25"/>
      <c r="U118" s="25"/>
      <c r="V118" s="25"/>
      <c r="W118" s="28"/>
      <c r="X118" s="384"/>
    </row>
    <row r="119" spans="1:24" s="162" customFormat="1" ht="21.95" hidden="1" customHeight="1">
      <c r="A119" s="110" t="s">
        <v>743</v>
      </c>
      <c r="B119" s="110" t="s">
        <v>865</v>
      </c>
      <c r="C119" s="110" t="str">
        <f>A119&amp;B119</f>
        <v>0.6/1KV난연제어케이블F-CVV 7/C 1.5㎟</v>
      </c>
      <c r="D119" s="99" t="s">
        <v>407</v>
      </c>
      <c r="E119" s="475">
        <f>MIN(G119,I119,K119,L119,M119)</f>
        <v>1546</v>
      </c>
      <c r="F119" s="99"/>
      <c r="G119" s="475">
        <v>1546</v>
      </c>
      <c r="H119" s="23">
        <v>1083</v>
      </c>
      <c r="I119" s="27">
        <v>1565</v>
      </c>
      <c r="J119" s="24">
        <v>1210</v>
      </c>
      <c r="K119" s="27">
        <v>1997</v>
      </c>
      <c r="L119" s="122"/>
      <c r="M119" s="475"/>
      <c r="N119" s="475"/>
      <c r="O119" s="23"/>
      <c r="P119" s="25"/>
      <c r="Q119" s="25"/>
      <c r="R119" s="25"/>
      <c r="S119" s="25"/>
      <c r="T119" s="25"/>
      <c r="U119" s="25"/>
      <c r="V119" s="25"/>
      <c r="W119" s="28"/>
      <c r="X119" s="384"/>
    </row>
    <row r="120" spans="1:24" s="162" customFormat="1" ht="21.95" hidden="1" customHeight="1">
      <c r="A120" s="110" t="s">
        <v>743</v>
      </c>
      <c r="B120" s="110" t="s">
        <v>132</v>
      </c>
      <c r="C120" s="110" t="str">
        <f t="shared" si="16"/>
        <v>0.6/1KV난연제어케이블F-CVV 2/C 2.5㎟</v>
      </c>
      <c r="D120" s="99" t="s">
        <v>407</v>
      </c>
      <c r="E120" s="475">
        <f t="shared" si="9"/>
        <v>901</v>
      </c>
      <c r="F120" s="99"/>
      <c r="G120" s="475">
        <v>901</v>
      </c>
      <c r="H120" s="23">
        <v>1083</v>
      </c>
      <c r="I120" s="27">
        <v>914</v>
      </c>
      <c r="J120" s="24">
        <v>1210</v>
      </c>
      <c r="K120" s="27">
        <v>1011</v>
      </c>
      <c r="L120" s="122"/>
      <c r="M120" s="475"/>
      <c r="N120" s="475"/>
      <c r="O120" s="23"/>
      <c r="P120" s="25"/>
      <c r="Q120" s="25"/>
      <c r="R120" s="25"/>
      <c r="S120" s="25"/>
      <c r="T120" s="25"/>
      <c r="U120" s="25"/>
      <c r="V120" s="25"/>
      <c r="W120" s="28"/>
      <c r="X120" s="384"/>
    </row>
    <row r="121" spans="1:24" s="162" customFormat="1" ht="21.95" hidden="1" customHeight="1">
      <c r="A121" s="110" t="s">
        <v>1679</v>
      </c>
      <c r="B121" s="110" t="s">
        <v>1596</v>
      </c>
      <c r="C121" s="110" t="str">
        <f t="shared" si="16"/>
        <v>0.6/1KV난연제어케이블F-CVV-SB 3/C 2.5㎟</v>
      </c>
      <c r="D121" s="99" t="s">
        <v>407</v>
      </c>
      <c r="E121" s="475">
        <f t="shared" si="9"/>
        <v>2224</v>
      </c>
      <c r="F121" s="99"/>
      <c r="G121" s="475">
        <v>2224</v>
      </c>
      <c r="H121" s="23">
        <v>1084</v>
      </c>
      <c r="I121" s="27">
        <v>2822</v>
      </c>
      <c r="J121" s="24">
        <v>1210</v>
      </c>
      <c r="K121" s="27">
        <v>2936</v>
      </c>
      <c r="L121" s="122"/>
      <c r="M121" s="475"/>
      <c r="N121" s="475"/>
      <c r="O121" s="23"/>
      <c r="P121" s="25"/>
      <c r="Q121" s="25"/>
      <c r="R121" s="25"/>
      <c r="S121" s="25"/>
      <c r="T121" s="25"/>
      <c r="U121" s="25"/>
      <c r="V121" s="25"/>
      <c r="W121" s="28"/>
      <c r="X121" s="124"/>
    </row>
    <row r="122" spans="1:24" s="162" customFormat="1" ht="21.95" hidden="1" customHeight="1">
      <c r="A122" s="110" t="s">
        <v>743</v>
      </c>
      <c r="B122" s="110" t="s">
        <v>133</v>
      </c>
      <c r="C122" s="110" t="str">
        <f t="shared" si="16"/>
        <v>0.6/1KV난연제어케이블F-CVV 4/C 2.5㎟</v>
      </c>
      <c r="D122" s="99" t="s">
        <v>407</v>
      </c>
      <c r="E122" s="475">
        <f t="shared" si="9"/>
        <v>1365</v>
      </c>
      <c r="F122" s="99"/>
      <c r="G122" s="475">
        <v>1365</v>
      </c>
      <c r="H122" s="23">
        <v>1083</v>
      </c>
      <c r="I122" s="27">
        <v>1402</v>
      </c>
      <c r="J122" s="24">
        <v>1210</v>
      </c>
      <c r="K122" s="27">
        <v>1699</v>
      </c>
      <c r="L122" s="122"/>
      <c r="M122" s="475"/>
      <c r="N122" s="475"/>
      <c r="O122" s="23"/>
      <c r="P122" s="25"/>
      <c r="Q122" s="25"/>
      <c r="R122" s="25"/>
      <c r="S122" s="25"/>
      <c r="T122" s="25"/>
      <c r="U122" s="25"/>
      <c r="V122" s="25"/>
      <c r="W122" s="28"/>
      <c r="X122" s="384"/>
    </row>
    <row r="123" spans="1:24" s="162" customFormat="1" ht="21.95" hidden="1" customHeight="1">
      <c r="A123" s="110" t="s">
        <v>743</v>
      </c>
      <c r="B123" s="110" t="s">
        <v>1381</v>
      </c>
      <c r="C123" s="110" t="str">
        <f>A123&amp;B123</f>
        <v>0.6/1KV난연제어케이블F-CVV 5/C 2.5㎟</v>
      </c>
      <c r="D123" s="99" t="s">
        <v>407</v>
      </c>
      <c r="E123" s="475">
        <f>MIN(G123,I123,K123,L123,M123)</f>
        <v>1606</v>
      </c>
      <c r="F123" s="99"/>
      <c r="G123" s="475">
        <v>1606</v>
      </c>
      <c r="H123" s="23">
        <v>1083</v>
      </c>
      <c r="I123" s="27">
        <v>1635</v>
      </c>
      <c r="J123" s="24">
        <v>1210</v>
      </c>
      <c r="K123" s="27">
        <v>2051</v>
      </c>
      <c r="L123" s="122"/>
      <c r="M123" s="475"/>
      <c r="N123" s="475"/>
      <c r="O123" s="23"/>
      <c r="P123" s="25"/>
      <c r="Q123" s="25"/>
      <c r="R123" s="25"/>
      <c r="S123" s="25"/>
      <c r="T123" s="25"/>
      <c r="U123" s="25"/>
      <c r="V123" s="25"/>
      <c r="W123" s="28"/>
      <c r="X123" s="384"/>
    </row>
    <row r="124" spans="1:24" s="162" customFormat="1" ht="21.95" hidden="1" customHeight="1">
      <c r="A124" s="110" t="s">
        <v>743</v>
      </c>
      <c r="B124" s="110" t="s">
        <v>392</v>
      </c>
      <c r="C124" s="110" t="str">
        <f>A124&amp;B124</f>
        <v>0.6/1KV난연제어케이블F-CVV 6/C 2.5㎟</v>
      </c>
      <c r="D124" s="99" t="s">
        <v>407</v>
      </c>
      <c r="E124" s="475">
        <f>MIN(G124,I124,K124,L124,M124)</f>
        <v>2261</v>
      </c>
      <c r="F124" s="99"/>
      <c r="G124" s="475">
        <v>2261</v>
      </c>
      <c r="H124" s="23">
        <v>1083</v>
      </c>
      <c r="I124" s="27">
        <v>2333</v>
      </c>
      <c r="J124" s="24" t="s">
        <v>129</v>
      </c>
      <c r="K124" s="27">
        <v>2758</v>
      </c>
      <c r="L124" s="122"/>
      <c r="M124" s="475"/>
      <c r="N124" s="475"/>
      <c r="O124" s="23"/>
      <c r="P124" s="25"/>
      <c r="Q124" s="25"/>
      <c r="R124" s="25"/>
      <c r="S124" s="25"/>
      <c r="T124" s="25"/>
      <c r="U124" s="25"/>
      <c r="V124" s="25"/>
      <c r="W124" s="28"/>
      <c r="X124" s="384"/>
    </row>
    <row r="125" spans="1:24" s="162" customFormat="1" ht="21.95" hidden="1" customHeight="1">
      <c r="A125" s="110" t="s">
        <v>743</v>
      </c>
      <c r="B125" s="110" t="s">
        <v>1265</v>
      </c>
      <c r="C125" s="110" t="str">
        <f>A125&amp;B125</f>
        <v>0.6/1KV난연제어케이블F-CVV 4/C 4㎟</v>
      </c>
      <c r="D125" s="99" t="s">
        <v>407</v>
      </c>
      <c r="E125" s="475">
        <f>MIN(G125,I125,K125,L125,M125)</f>
        <v>1911</v>
      </c>
      <c r="F125" s="99"/>
      <c r="G125" s="475">
        <v>1911</v>
      </c>
      <c r="H125" s="23">
        <v>1084</v>
      </c>
      <c r="I125" s="27">
        <v>1941</v>
      </c>
      <c r="J125" s="24" t="s">
        <v>1271</v>
      </c>
      <c r="K125" s="27">
        <v>2453</v>
      </c>
      <c r="L125" s="122"/>
      <c r="M125" s="475"/>
      <c r="N125" s="475"/>
      <c r="O125" s="23"/>
      <c r="P125" s="25"/>
      <c r="Q125" s="25"/>
      <c r="R125" s="25"/>
      <c r="S125" s="25"/>
      <c r="T125" s="25"/>
      <c r="U125" s="25"/>
      <c r="V125" s="25"/>
      <c r="W125" s="28"/>
      <c r="X125" s="384"/>
    </row>
    <row r="126" spans="1:24" s="162" customFormat="1" ht="21.95" hidden="1" customHeight="1">
      <c r="A126" s="110" t="s">
        <v>743</v>
      </c>
      <c r="B126" s="110" t="s">
        <v>88</v>
      </c>
      <c r="C126" s="110" t="str">
        <f t="shared" si="16"/>
        <v>0.6/1KV난연제어케이블F-CVV-S 2/C 1.5㎟</v>
      </c>
      <c r="D126" s="99" t="s">
        <v>407</v>
      </c>
      <c r="E126" s="475">
        <f t="shared" si="9"/>
        <v>974</v>
      </c>
      <c r="F126" s="99"/>
      <c r="G126" s="475">
        <v>992</v>
      </c>
      <c r="H126" s="23">
        <v>1084</v>
      </c>
      <c r="I126" s="27">
        <v>983</v>
      </c>
      <c r="J126" s="24" t="s">
        <v>1142</v>
      </c>
      <c r="K126" s="27">
        <v>974</v>
      </c>
      <c r="L126" s="122"/>
      <c r="M126" s="475"/>
      <c r="N126" s="475"/>
      <c r="O126" s="23"/>
      <c r="P126" s="25"/>
      <c r="Q126" s="25"/>
      <c r="R126" s="25"/>
      <c r="S126" s="25"/>
      <c r="T126" s="25"/>
      <c r="U126" s="25"/>
      <c r="V126" s="25"/>
      <c r="W126" s="28"/>
      <c r="X126" s="124"/>
    </row>
    <row r="127" spans="1:24" s="162" customFormat="1" ht="21.95" hidden="1" customHeight="1">
      <c r="A127" s="110" t="s">
        <v>743</v>
      </c>
      <c r="B127" s="110" t="s">
        <v>742</v>
      </c>
      <c r="C127" s="110" t="str">
        <f t="shared" ref="C127:C160" si="17">A127&amp;B127</f>
        <v>0.6/1KV난연제어케이블F-CVV-S 3/C 1.5㎟</v>
      </c>
      <c r="D127" s="99" t="s">
        <v>407</v>
      </c>
      <c r="E127" s="475">
        <f t="shared" si="9"/>
        <v>1344</v>
      </c>
      <c r="F127" s="99"/>
      <c r="G127" s="475">
        <v>1344</v>
      </c>
      <c r="H127" s="23">
        <v>1083</v>
      </c>
      <c r="I127" s="27">
        <v>1411</v>
      </c>
      <c r="J127" s="24" t="s">
        <v>129</v>
      </c>
      <c r="K127" s="27">
        <v>1668</v>
      </c>
      <c r="L127" s="122"/>
      <c r="M127" s="475"/>
      <c r="N127" s="475"/>
      <c r="O127" s="23"/>
      <c r="P127" s="25"/>
      <c r="Q127" s="25"/>
      <c r="R127" s="25"/>
      <c r="S127" s="25"/>
      <c r="T127" s="25"/>
      <c r="U127" s="25"/>
      <c r="V127" s="25"/>
      <c r="W127" s="28"/>
      <c r="X127" s="124"/>
    </row>
    <row r="128" spans="1:24" s="162" customFormat="1" ht="21.95" hidden="1" customHeight="1">
      <c r="A128" s="110" t="s">
        <v>743</v>
      </c>
      <c r="B128" s="110" t="s">
        <v>244</v>
      </c>
      <c r="C128" s="110" t="str">
        <f t="shared" si="17"/>
        <v>0.6/1KV난연제어케이블F-CVV-S 4/C 1.5㎟</v>
      </c>
      <c r="D128" s="99" t="s">
        <v>407</v>
      </c>
      <c r="E128" s="475">
        <f t="shared" si="9"/>
        <v>1551</v>
      </c>
      <c r="F128" s="99"/>
      <c r="G128" s="475">
        <v>1551</v>
      </c>
      <c r="H128" s="23">
        <v>1083</v>
      </c>
      <c r="I128" s="27">
        <v>1634</v>
      </c>
      <c r="J128" s="24" t="s">
        <v>129</v>
      </c>
      <c r="K128" s="27">
        <v>1931</v>
      </c>
      <c r="L128" s="122"/>
      <c r="M128" s="475"/>
      <c r="N128" s="475"/>
      <c r="O128" s="23"/>
      <c r="P128" s="25"/>
      <c r="Q128" s="25"/>
      <c r="R128" s="25"/>
      <c r="S128" s="25"/>
      <c r="T128" s="25"/>
      <c r="U128" s="25"/>
      <c r="V128" s="25"/>
      <c r="W128" s="28"/>
      <c r="X128" s="124"/>
    </row>
    <row r="129" spans="1:28" s="162" customFormat="1" ht="21.95" hidden="1" customHeight="1">
      <c r="A129" s="110" t="s">
        <v>743</v>
      </c>
      <c r="B129" s="110" t="s">
        <v>6</v>
      </c>
      <c r="C129" s="110" t="str">
        <f t="shared" si="17"/>
        <v>0.6/1KV난연제어케이블F-CVV-S 2/C 2.5㎟</v>
      </c>
      <c r="D129" s="99" t="s">
        <v>407</v>
      </c>
      <c r="E129" s="475">
        <f t="shared" si="9"/>
        <v>1325</v>
      </c>
      <c r="F129" s="99"/>
      <c r="G129" s="475">
        <v>1325</v>
      </c>
      <c r="H129" s="23">
        <v>1083</v>
      </c>
      <c r="I129" s="27">
        <v>1384</v>
      </c>
      <c r="J129" s="24" t="s">
        <v>129</v>
      </c>
      <c r="K129" s="27">
        <v>1636</v>
      </c>
      <c r="L129" s="122"/>
      <c r="M129" s="475"/>
      <c r="N129" s="475"/>
      <c r="O129" s="23"/>
      <c r="P129" s="25"/>
      <c r="Q129" s="25"/>
      <c r="R129" s="25"/>
      <c r="S129" s="25"/>
      <c r="T129" s="25"/>
      <c r="U129" s="25"/>
      <c r="V129" s="25"/>
      <c r="W129" s="28"/>
      <c r="X129" s="124"/>
    </row>
    <row r="130" spans="1:28" s="162" customFormat="1" ht="21.95" hidden="1" customHeight="1">
      <c r="A130" s="110" t="s">
        <v>743</v>
      </c>
      <c r="B130" s="110" t="s">
        <v>1382</v>
      </c>
      <c r="C130" s="110" t="str">
        <f t="shared" si="17"/>
        <v>0.6/1KV난연제어케이블F-CVV-SB 3/C 1.5㎟</v>
      </c>
      <c r="D130" s="99" t="s">
        <v>407</v>
      </c>
      <c r="E130" s="475">
        <f>MIN(G130,I130,K130,L130,M130)</f>
        <v>1255</v>
      </c>
      <c r="F130" s="99"/>
      <c r="G130" s="475">
        <v>1255</v>
      </c>
      <c r="H130" s="23">
        <v>1084</v>
      </c>
      <c r="I130" s="27">
        <v>1437</v>
      </c>
      <c r="J130" s="24" t="s">
        <v>1017</v>
      </c>
      <c r="K130" s="27">
        <v>1928</v>
      </c>
      <c r="L130" s="122"/>
      <c r="M130" s="475"/>
      <c r="N130" s="475"/>
      <c r="O130" s="23"/>
      <c r="P130" s="25"/>
      <c r="Q130" s="25"/>
      <c r="R130" s="25"/>
      <c r="S130" s="25"/>
      <c r="T130" s="25"/>
      <c r="U130" s="25"/>
      <c r="V130" s="25"/>
      <c r="W130" s="28"/>
      <c r="X130" s="124"/>
    </row>
    <row r="131" spans="1:28" s="162" customFormat="1" ht="21.95" hidden="1" customHeight="1">
      <c r="A131" s="110" t="s">
        <v>743</v>
      </c>
      <c r="B131" s="110" t="s">
        <v>1383</v>
      </c>
      <c r="C131" s="110" t="str">
        <f t="shared" ref="C131:C133" si="18">A131&amp;B131</f>
        <v>0.6/1KV난연제어케이블F-CVV-SB 3/C 2.5㎟</v>
      </c>
      <c r="D131" s="99" t="s">
        <v>407</v>
      </c>
      <c r="E131" s="475">
        <f>MIN(G131,I131,K131,L131,M131)</f>
        <v>1479</v>
      </c>
      <c r="F131" s="99"/>
      <c r="G131" s="475">
        <v>1479</v>
      </c>
      <c r="H131" s="23">
        <v>1084</v>
      </c>
      <c r="I131" s="27">
        <v>1513</v>
      </c>
      <c r="J131" s="24">
        <v>1210</v>
      </c>
      <c r="K131" s="27">
        <v>1700</v>
      </c>
      <c r="L131" s="122"/>
      <c r="M131" s="475"/>
      <c r="N131" s="475"/>
      <c r="O131" s="23"/>
      <c r="P131" s="25"/>
      <c r="Q131" s="25"/>
      <c r="R131" s="25"/>
      <c r="S131" s="25"/>
      <c r="T131" s="25"/>
      <c r="U131" s="25"/>
      <c r="V131" s="25"/>
      <c r="W131" s="28"/>
      <c r="X131" s="124"/>
    </row>
    <row r="132" spans="1:28" s="386" customFormat="1" ht="21.95" hidden="1" customHeight="1">
      <c r="A132" s="110" t="s">
        <v>128</v>
      </c>
      <c r="B132" s="123" t="s">
        <v>766</v>
      </c>
      <c r="C132" s="110" t="str">
        <f t="shared" si="17"/>
        <v>22.9KV 동심중성수밀케이블CN/CV-W 1C 60㎟</v>
      </c>
      <c r="D132" s="99" t="s">
        <v>407</v>
      </c>
      <c r="E132" s="475">
        <f>MIN(G132,I132,K132,L132,M132)</f>
        <v>16489</v>
      </c>
      <c r="F132" s="402"/>
      <c r="G132" s="475">
        <v>16489</v>
      </c>
      <c r="H132" s="23">
        <v>1082</v>
      </c>
      <c r="I132" s="27">
        <v>18605</v>
      </c>
      <c r="J132" s="24" t="s">
        <v>129</v>
      </c>
      <c r="K132" s="27">
        <v>19521</v>
      </c>
      <c r="L132" s="23"/>
      <c r="M132" s="23"/>
      <c r="N132" s="23"/>
      <c r="O132" s="23"/>
      <c r="P132" s="25"/>
      <c r="Q132" s="25"/>
      <c r="R132" s="25">
        <f>ROUNDDOWN(((0.00846*2.6)/3)*1.9,4)</f>
        <v>1.3899999999999999E-2</v>
      </c>
      <c r="S132" s="25"/>
      <c r="T132" s="25"/>
      <c r="U132" s="25">
        <f>ROUNDDOWN(((0.00846*2.6)/3)*1.9,4)</f>
        <v>1.3899999999999999E-2</v>
      </c>
      <c r="V132" s="25"/>
      <c r="W132" s="25"/>
      <c r="X132" s="384" t="s">
        <v>130</v>
      </c>
      <c r="Y132" s="385"/>
      <c r="Z132" s="128"/>
      <c r="AA132" s="128"/>
      <c r="AB132" s="128"/>
    </row>
    <row r="133" spans="1:28" s="386" customFormat="1" ht="21.95" hidden="1" customHeight="1">
      <c r="A133" s="110" t="s">
        <v>1575</v>
      </c>
      <c r="B133" s="110" t="s">
        <v>1574</v>
      </c>
      <c r="C133" s="110" t="str">
        <f t="shared" si="18"/>
        <v>22.9KV FR-CN-CO-W CABLEFR-CN-C0-W 1/C 60㎟</v>
      </c>
      <c r="D133" s="99" t="s">
        <v>407</v>
      </c>
      <c r="E133" s="475">
        <f t="shared" si="9"/>
        <v>16489</v>
      </c>
      <c r="F133" s="402"/>
      <c r="G133" s="475">
        <v>16489</v>
      </c>
      <c r="H133" s="23">
        <v>1082</v>
      </c>
      <c r="I133" s="27">
        <v>18703</v>
      </c>
      <c r="J133" s="24">
        <v>1200</v>
      </c>
      <c r="K133" s="27">
        <v>18061</v>
      </c>
      <c r="L133" s="23"/>
      <c r="M133" s="23"/>
      <c r="N133" s="23"/>
      <c r="O133" s="23"/>
      <c r="P133" s="25"/>
      <c r="Q133" s="25"/>
      <c r="R133" s="25">
        <f>ROUNDDOWN(((0.00846*2.6)/3)*1.9,4)</f>
        <v>1.3899999999999999E-2</v>
      </c>
      <c r="S133" s="25"/>
      <c r="T133" s="25"/>
      <c r="U133" s="25">
        <f>ROUNDDOWN(((0.00846*2.6)/3)*1.9,4)</f>
        <v>1.3899999999999999E-2</v>
      </c>
      <c r="V133" s="25"/>
      <c r="W133" s="25"/>
      <c r="X133" s="384" t="s">
        <v>130</v>
      </c>
      <c r="Y133" s="385"/>
      <c r="Z133" s="128"/>
      <c r="AA133" s="128"/>
      <c r="AB133" s="128"/>
    </row>
    <row r="134" spans="1:28" s="162" customFormat="1" ht="21.95" hidden="1" customHeight="1">
      <c r="A134" s="110" t="s">
        <v>1349</v>
      </c>
      <c r="B134" s="123" t="s">
        <v>1348</v>
      </c>
      <c r="C134" s="110" t="str">
        <f t="shared" si="17"/>
        <v>600V비닐코드VCTF 3/C 1.5㎟</v>
      </c>
      <c r="D134" s="99" t="s">
        <v>407</v>
      </c>
      <c r="E134" s="475">
        <f>MIN(G134,I134,K134,L134,M134)</f>
        <v>420</v>
      </c>
      <c r="F134" s="99"/>
      <c r="G134" s="390"/>
      <c r="H134" s="483">
        <v>1088</v>
      </c>
      <c r="I134" s="390">
        <v>420</v>
      </c>
      <c r="J134" s="24" t="s">
        <v>1341</v>
      </c>
      <c r="K134" s="390">
        <v>865</v>
      </c>
      <c r="L134" s="122"/>
      <c r="M134" s="475"/>
      <c r="N134" s="475"/>
      <c r="O134" s="23"/>
      <c r="P134" s="25"/>
      <c r="Q134" s="25"/>
      <c r="R134" s="25"/>
      <c r="S134" s="25"/>
      <c r="T134" s="25"/>
      <c r="U134" s="25"/>
      <c r="V134" s="25"/>
      <c r="W134" s="28"/>
      <c r="X134" s="124" t="s">
        <v>500</v>
      </c>
    </row>
    <row r="135" spans="1:28" s="162" customFormat="1" ht="21.95" hidden="1" customHeight="1">
      <c r="A135" s="110" t="s">
        <v>702</v>
      </c>
      <c r="B135" s="110" t="s">
        <v>701</v>
      </c>
      <c r="C135" s="110" t="str">
        <f t="shared" si="17"/>
        <v>내열절연전선HFIX 1.5㎟</v>
      </c>
      <c r="D135" s="99" t="s">
        <v>407</v>
      </c>
      <c r="E135" s="475">
        <f t="shared" si="9"/>
        <v>270</v>
      </c>
      <c r="F135" s="99"/>
      <c r="G135" s="390">
        <v>270</v>
      </c>
      <c r="H135" s="483">
        <v>1082</v>
      </c>
      <c r="I135" s="390">
        <v>285</v>
      </c>
      <c r="J135" s="24">
        <v>1210</v>
      </c>
      <c r="K135" s="390">
        <v>312</v>
      </c>
      <c r="L135" s="122"/>
      <c r="M135" s="475"/>
      <c r="N135" s="475"/>
      <c r="O135" s="23"/>
      <c r="P135" s="25"/>
      <c r="Q135" s="25"/>
      <c r="R135" s="25"/>
      <c r="S135" s="25"/>
      <c r="T135" s="25"/>
      <c r="U135" s="25"/>
      <c r="V135" s="25"/>
      <c r="W135" s="28"/>
      <c r="X135" s="124" t="s">
        <v>500</v>
      </c>
    </row>
    <row r="136" spans="1:28" s="162" customFormat="1" ht="21.95" customHeight="1">
      <c r="A136" s="110" t="s">
        <v>435</v>
      </c>
      <c r="B136" s="110" t="s">
        <v>568</v>
      </c>
      <c r="C136" s="110" t="str">
        <f t="shared" si="17"/>
        <v>내열절연전선HFIX 2.5㎟</v>
      </c>
      <c r="D136" s="99" t="s">
        <v>407</v>
      </c>
      <c r="E136" s="475">
        <f t="shared" si="9"/>
        <v>544</v>
      </c>
      <c r="F136" s="99"/>
      <c r="G136" s="475">
        <v>544</v>
      </c>
      <c r="H136" s="23">
        <v>1074</v>
      </c>
      <c r="I136" s="475">
        <v>641</v>
      </c>
      <c r="J136" s="24">
        <v>1179</v>
      </c>
      <c r="K136" s="475">
        <v>696</v>
      </c>
      <c r="L136" s="122"/>
      <c r="M136" s="475"/>
      <c r="N136" s="475"/>
      <c r="O136" s="23"/>
      <c r="P136" s="25"/>
      <c r="Q136" s="25"/>
      <c r="R136" s="25"/>
      <c r="S136" s="25"/>
      <c r="T136" s="25"/>
      <c r="U136" s="25"/>
      <c r="V136" s="25"/>
      <c r="W136" s="28"/>
      <c r="X136" s="124"/>
    </row>
    <row r="137" spans="1:28" s="162" customFormat="1" ht="21.95" hidden="1" customHeight="1">
      <c r="A137" s="110" t="s">
        <v>435</v>
      </c>
      <c r="B137" s="110" t="s">
        <v>436</v>
      </c>
      <c r="C137" s="110" t="str">
        <f t="shared" si="17"/>
        <v>내열절연전선HFIX 4㎟</v>
      </c>
      <c r="D137" s="99" t="s">
        <v>407</v>
      </c>
      <c r="E137" s="475">
        <f t="shared" si="9"/>
        <v>616</v>
      </c>
      <c r="F137" s="99"/>
      <c r="G137" s="475">
        <v>616</v>
      </c>
      <c r="H137" s="23">
        <v>1082</v>
      </c>
      <c r="I137" s="27">
        <v>628</v>
      </c>
      <c r="J137" s="24">
        <v>1210</v>
      </c>
      <c r="K137" s="27">
        <v>708</v>
      </c>
      <c r="L137" s="122"/>
      <c r="M137" s="475"/>
      <c r="N137" s="475"/>
      <c r="O137" s="23"/>
      <c r="P137" s="25"/>
      <c r="Q137" s="25"/>
      <c r="R137" s="25"/>
      <c r="S137" s="25"/>
      <c r="T137" s="25"/>
      <c r="U137" s="25"/>
      <c r="V137" s="25"/>
      <c r="W137" s="28"/>
      <c r="X137" s="124" t="s">
        <v>500</v>
      </c>
    </row>
    <row r="138" spans="1:28" s="162" customFormat="1" ht="21.75" hidden="1" customHeight="1">
      <c r="A138" s="110" t="s">
        <v>435</v>
      </c>
      <c r="B138" s="110" t="s">
        <v>1015</v>
      </c>
      <c r="C138" s="110" t="str">
        <f t="shared" si="17"/>
        <v>내열절연전선HFIX 6㎟</v>
      </c>
      <c r="D138" s="99" t="s">
        <v>407</v>
      </c>
      <c r="E138" s="475">
        <f t="shared" ref="E138:E236" si="19">MIN(G138,I138,K138,L138,M138)</f>
        <v>598</v>
      </c>
      <c r="F138" s="99"/>
      <c r="G138" s="475">
        <v>598</v>
      </c>
      <c r="H138" s="23">
        <v>1082</v>
      </c>
      <c r="I138" s="27">
        <v>700</v>
      </c>
      <c r="J138" s="24" t="s">
        <v>1016</v>
      </c>
      <c r="K138" s="27">
        <v>780</v>
      </c>
      <c r="L138" s="122"/>
      <c r="M138" s="475"/>
      <c r="N138" s="475"/>
      <c r="O138" s="23"/>
      <c r="P138" s="25"/>
      <c r="Q138" s="25"/>
      <c r="R138" s="25"/>
      <c r="S138" s="25"/>
      <c r="T138" s="25"/>
      <c r="U138" s="25"/>
      <c r="V138" s="25"/>
      <c r="W138" s="28"/>
      <c r="X138" s="124" t="s">
        <v>500</v>
      </c>
    </row>
    <row r="139" spans="1:28" s="162" customFormat="1" ht="21.95" hidden="1" customHeight="1">
      <c r="A139" s="110" t="s">
        <v>386</v>
      </c>
      <c r="B139" s="110" t="s">
        <v>437</v>
      </c>
      <c r="C139" s="110" t="str">
        <f t="shared" si="17"/>
        <v>접지용전선F-GV 2.5㎟</v>
      </c>
      <c r="D139" s="99" t="s">
        <v>407</v>
      </c>
      <c r="E139" s="475">
        <f t="shared" si="19"/>
        <v>556</v>
      </c>
      <c r="F139" s="99"/>
      <c r="G139" s="475">
        <v>556</v>
      </c>
      <c r="H139" s="23">
        <v>1083</v>
      </c>
      <c r="I139" s="27">
        <v>667</v>
      </c>
      <c r="J139" s="24">
        <v>1210</v>
      </c>
      <c r="K139" s="27">
        <v>887</v>
      </c>
      <c r="L139" s="122"/>
      <c r="M139" s="475"/>
      <c r="N139" s="475"/>
      <c r="O139" s="23"/>
      <c r="P139" s="25"/>
      <c r="Q139" s="25"/>
      <c r="R139" s="25"/>
      <c r="S139" s="25"/>
      <c r="T139" s="25"/>
      <c r="U139" s="25"/>
      <c r="V139" s="25"/>
      <c r="W139" s="28"/>
      <c r="X139" s="124" t="s">
        <v>501</v>
      </c>
    </row>
    <row r="140" spans="1:28" s="162" customFormat="1" ht="21.95" hidden="1" customHeight="1">
      <c r="A140" s="110" t="s">
        <v>386</v>
      </c>
      <c r="B140" s="110" t="s">
        <v>438</v>
      </c>
      <c r="C140" s="110" t="str">
        <f t="shared" si="17"/>
        <v>접지용전선F-GV 4㎟</v>
      </c>
      <c r="D140" s="99" t="s">
        <v>407</v>
      </c>
      <c r="E140" s="475">
        <f t="shared" si="19"/>
        <v>787</v>
      </c>
      <c r="F140" s="99"/>
      <c r="G140" s="22">
        <v>787</v>
      </c>
      <c r="H140" s="23">
        <v>1083</v>
      </c>
      <c r="I140" s="27">
        <v>936</v>
      </c>
      <c r="J140" s="24">
        <v>1210</v>
      </c>
      <c r="K140" s="27">
        <v>1045</v>
      </c>
      <c r="L140" s="122"/>
      <c r="M140" s="475"/>
      <c r="N140" s="475"/>
      <c r="O140" s="23"/>
      <c r="P140" s="25"/>
      <c r="Q140" s="25"/>
      <c r="R140" s="25"/>
      <c r="S140" s="25"/>
      <c r="T140" s="25"/>
      <c r="U140" s="25"/>
      <c r="V140" s="25"/>
      <c r="W140" s="28"/>
      <c r="X140" s="124" t="s">
        <v>501</v>
      </c>
    </row>
    <row r="141" spans="1:28" s="162" customFormat="1" ht="21.95" hidden="1" customHeight="1">
      <c r="A141" s="110" t="s">
        <v>386</v>
      </c>
      <c r="B141" s="110" t="s">
        <v>439</v>
      </c>
      <c r="C141" s="110" t="str">
        <f t="shared" si="17"/>
        <v>접지용전선F-GV 6㎟</v>
      </c>
      <c r="D141" s="99" t="s">
        <v>407</v>
      </c>
      <c r="E141" s="475">
        <f t="shared" si="19"/>
        <v>896</v>
      </c>
      <c r="F141" s="99"/>
      <c r="G141" s="22">
        <v>896</v>
      </c>
      <c r="H141" s="23">
        <v>1083</v>
      </c>
      <c r="I141" s="475">
        <v>1064</v>
      </c>
      <c r="J141" s="24">
        <v>1210</v>
      </c>
      <c r="K141" s="475">
        <v>1372</v>
      </c>
      <c r="L141" s="122"/>
      <c r="M141" s="475"/>
      <c r="N141" s="475"/>
      <c r="O141" s="23"/>
      <c r="P141" s="25"/>
      <c r="Q141" s="25"/>
      <c r="R141" s="25"/>
      <c r="S141" s="25"/>
      <c r="T141" s="25"/>
      <c r="U141" s="25"/>
      <c r="V141" s="25"/>
      <c r="W141" s="28"/>
      <c r="X141" s="124" t="s">
        <v>501</v>
      </c>
    </row>
    <row r="142" spans="1:28" s="162" customFormat="1" ht="21.95" hidden="1" customHeight="1">
      <c r="A142" s="110" t="s">
        <v>386</v>
      </c>
      <c r="B142" s="110" t="s">
        <v>387</v>
      </c>
      <c r="C142" s="110" t="str">
        <f t="shared" si="17"/>
        <v>접지용전선F-GV 10㎟</v>
      </c>
      <c r="D142" s="99" t="s">
        <v>407</v>
      </c>
      <c r="E142" s="475">
        <f t="shared" si="19"/>
        <v>1523</v>
      </c>
      <c r="F142" s="99"/>
      <c r="G142" s="22">
        <v>1523</v>
      </c>
      <c r="H142" s="23">
        <v>1083</v>
      </c>
      <c r="I142" s="475">
        <v>1781</v>
      </c>
      <c r="J142" s="24">
        <v>1210</v>
      </c>
      <c r="K142" s="475">
        <v>1835</v>
      </c>
      <c r="L142" s="122"/>
      <c r="M142" s="475"/>
      <c r="N142" s="475"/>
      <c r="O142" s="23"/>
      <c r="P142" s="25"/>
      <c r="Q142" s="25"/>
      <c r="R142" s="25"/>
      <c r="S142" s="25"/>
      <c r="T142" s="25"/>
      <c r="U142" s="25"/>
      <c r="V142" s="25"/>
      <c r="W142" s="28"/>
      <c r="X142" s="124" t="s">
        <v>501</v>
      </c>
    </row>
    <row r="143" spans="1:28" s="162" customFormat="1" ht="21.75" customHeight="1">
      <c r="A143" s="110" t="s">
        <v>386</v>
      </c>
      <c r="B143" s="110" t="s">
        <v>388</v>
      </c>
      <c r="C143" s="110" t="str">
        <f t="shared" si="17"/>
        <v>접지용전선F-GV 16㎟</v>
      </c>
      <c r="D143" s="99" t="s">
        <v>407</v>
      </c>
      <c r="E143" s="475">
        <f t="shared" si="19"/>
        <v>3041</v>
      </c>
      <c r="F143" s="99"/>
      <c r="G143" s="475">
        <v>3041</v>
      </c>
      <c r="H143" s="23">
        <v>1075</v>
      </c>
      <c r="I143" s="475">
        <v>4707</v>
      </c>
      <c r="J143" s="24">
        <v>1179</v>
      </c>
      <c r="K143" s="475">
        <v>3551</v>
      </c>
      <c r="L143" s="122"/>
      <c r="M143" s="475"/>
      <c r="N143" s="475"/>
      <c r="O143" s="23"/>
      <c r="P143" s="25"/>
      <c r="Q143" s="25"/>
      <c r="R143" s="25"/>
      <c r="S143" s="25"/>
      <c r="T143" s="25"/>
      <c r="U143" s="25"/>
      <c r="V143" s="25"/>
      <c r="W143" s="28"/>
      <c r="X143" s="124" t="s">
        <v>501</v>
      </c>
    </row>
    <row r="144" spans="1:28" s="162" customFormat="1" ht="21.95" customHeight="1">
      <c r="A144" s="110" t="s">
        <v>386</v>
      </c>
      <c r="B144" s="110" t="s">
        <v>440</v>
      </c>
      <c r="C144" s="110" t="str">
        <f t="shared" si="17"/>
        <v>접지용전선F-GV 25㎟</v>
      </c>
      <c r="D144" s="99" t="s">
        <v>407</v>
      </c>
      <c r="E144" s="475">
        <f t="shared" si="19"/>
        <v>4392</v>
      </c>
      <c r="F144" s="99"/>
      <c r="G144" s="475">
        <v>4392</v>
      </c>
      <c r="H144" s="23">
        <v>1075</v>
      </c>
      <c r="I144" s="475">
        <v>7300</v>
      </c>
      <c r="J144" s="24">
        <v>1179</v>
      </c>
      <c r="K144" s="475">
        <v>5519</v>
      </c>
      <c r="L144" s="122"/>
      <c r="M144" s="475"/>
      <c r="N144" s="475"/>
      <c r="O144" s="23"/>
      <c r="P144" s="25"/>
      <c r="Q144" s="25"/>
      <c r="R144" s="25"/>
      <c r="S144" s="25"/>
      <c r="T144" s="25"/>
      <c r="U144" s="25"/>
      <c r="V144" s="25"/>
      <c r="W144" s="28"/>
      <c r="X144" s="124" t="s">
        <v>501</v>
      </c>
    </row>
    <row r="145" spans="1:24" s="162" customFormat="1" ht="21.95" hidden="1" customHeight="1">
      <c r="A145" s="110" t="s">
        <v>386</v>
      </c>
      <c r="B145" s="110" t="s">
        <v>389</v>
      </c>
      <c r="C145" s="110" t="str">
        <f t="shared" si="17"/>
        <v>접지용전선F-GV 35㎟</v>
      </c>
      <c r="D145" s="99" t="s">
        <v>407</v>
      </c>
      <c r="E145" s="475">
        <f t="shared" si="19"/>
        <v>6038</v>
      </c>
      <c r="F145" s="99"/>
      <c r="G145" s="475">
        <v>6038</v>
      </c>
      <c r="H145" s="23">
        <v>1075</v>
      </c>
      <c r="I145" s="27">
        <v>9926</v>
      </c>
      <c r="J145" s="24">
        <v>1179</v>
      </c>
      <c r="K145" s="27">
        <v>7608</v>
      </c>
      <c r="L145" s="122"/>
      <c r="M145" s="475"/>
      <c r="N145" s="475"/>
      <c r="O145" s="23"/>
      <c r="P145" s="25"/>
      <c r="Q145" s="25"/>
      <c r="R145" s="25"/>
      <c r="S145" s="25"/>
      <c r="T145" s="25"/>
      <c r="U145" s="25"/>
      <c r="V145" s="25"/>
      <c r="W145" s="28"/>
      <c r="X145" s="124" t="s">
        <v>501</v>
      </c>
    </row>
    <row r="146" spans="1:24" s="162" customFormat="1" ht="21.95" customHeight="1">
      <c r="A146" s="110" t="s">
        <v>386</v>
      </c>
      <c r="B146" s="110" t="s">
        <v>390</v>
      </c>
      <c r="C146" s="110" t="str">
        <f t="shared" si="17"/>
        <v>접지용전선F-GV 50㎟</v>
      </c>
      <c r="D146" s="99" t="s">
        <v>407</v>
      </c>
      <c r="E146" s="475">
        <f t="shared" si="19"/>
        <v>8484</v>
      </c>
      <c r="F146" s="99"/>
      <c r="G146" s="475">
        <v>8484</v>
      </c>
      <c r="H146" s="23">
        <v>1075</v>
      </c>
      <c r="I146" s="27">
        <v>13379</v>
      </c>
      <c r="J146" s="24">
        <v>1179</v>
      </c>
      <c r="K146" s="27">
        <v>10145</v>
      </c>
      <c r="L146" s="122"/>
      <c r="M146" s="475"/>
      <c r="N146" s="475"/>
      <c r="O146" s="23"/>
      <c r="P146" s="25"/>
      <c r="Q146" s="25"/>
      <c r="R146" s="25"/>
      <c r="S146" s="25"/>
      <c r="T146" s="25"/>
      <c r="U146" s="25"/>
      <c r="V146" s="25"/>
      <c r="W146" s="28"/>
      <c r="X146" s="124" t="s">
        <v>501</v>
      </c>
    </row>
    <row r="147" spans="1:24" s="162" customFormat="1" ht="21.95" hidden="1" customHeight="1">
      <c r="A147" s="110" t="s">
        <v>386</v>
      </c>
      <c r="B147" s="110" t="s">
        <v>441</v>
      </c>
      <c r="C147" s="110" t="str">
        <f t="shared" si="17"/>
        <v>접지용전선F-GV 70㎟</v>
      </c>
      <c r="D147" s="99" t="s">
        <v>407</v>
      </c>
      <c r="E147" s="475">
        <f t="shared" si="19"/>
        <v>11847</v>
      </c>
      <c r="F147" s="99"/>
      <c r="G147" s="475">
        <v>11847</v>
      </c>
      <c r="H147" s="23">
        <v>1075</v>
      </c>
      <c r="I147" s="27">
        <v>18944</v>
      </c>
      <c r="J147" s="24">
        <v>1179</v>
      </c>
      <c r="K147" s="27">
        <v>14432</v>
      </c>
      <c r="L147" s="122"/>
      <c r="M147" s="475"/>
      <c r="N147" s="475"/>
      <c r="O147" s="23"/>
      <c r="P147" s="25"/>
      <c r="Q147" s="25"/>
      <c r="R147" s="25"/>
      <c r="S147" s="25"/>
      <c r="T147" s="25"/>
      <c r="U147" s="25"/>
      <c r="V147" s="25"/>
      <c r="W147" s="28"/>
      <c r="X147" s="124" t="s">
        <v>501</v>
      </c>
    </row>
    <row r="148" spans="1:24" s="162" customFormat="1" ht="21.95" hidden="1" customHeight="1">
      <c r="A148" s="110" t="s">
        <v>386</v>
      </c>
      <c r="B148" s="110" t="s">
        <v>738</v>
      </c>
      <c r="C148" s="110" t="str">
        <f t="shared" si="17"/>
        <v>접지용전선F-GV 95㎟</v>
      </c>
      <c r="D148" s="99" t="s">
        <v>407</v>
      </c>
      <c r="E148" s="475">
        <f t="shared" si="19"/>
        <v>16009</v>
      </c>
      <c r="F148" s="99"/>
      <c r="G148" s="475">
        <v>16009</v>
      </c>
      <c r="H148" s="23">
        <v>1075</v>
      </c>
      <c r="I148" s="27">
        <v>25916</v>
      </c>
      <c r="J148" s="24">
        <v>1179</v>
      </c>
      <c r="K148" s="27">
        <v>19608</v>
      </c>
      <c r="L148" s="122"/>
      <c r="M148" s="475"/>
      <c r="N148" s="475"/>
      <c r="O148" s="23"/>
      <c r="P148" s="25"/>
      <c r="Q148" s="25"/>
      <c r="R148" s="25"/>
      <c r="S148" s="25"/>
      <c r="T148" s="25"/>
      <c r="U148" s="25"/>
      <c r="V148" s="25"/>
      <c r="W148" s="28"/>
      <c r="X148" s="124" t="s">
        <v>501</v>
      </c>
    </row>
    <row r="149" spans="1:24" s="162" customFormat="1" ht="21.95" customHeight="1">
      <c r="A149" s="110" t="s">
        <v>386</v>
      </c>
      <c r="B149" s="110" t="s">
        <v>155</v>
      </c>
      <c r="C149" s="110" t="str">
        <f t="shared" si="17"/>
        <v>접지용전선F-GV 120㎟</v>
      </c>
      <c r="D149" s="99" t="s">
        <v>407</v>
      </c>
      <c r="E149" s="475">
        <f t="shared" si="19"/>
        <v>19053</v>
      </c>
      <c r="F149" s="99"/>
      <c r="G149" s="475">
        <v>19053</v>
      </c>
      <c r="H149" s="23">
        <v>1075</v>
      </c>
      <c r="I149" s="27">
        <v>32633</v>
      </c>
      <c r="J149" s="24">
        <v>1179</v>
      </c>
      <c r="K149" s="27">
        <v>24088</v>
      </c>
      <c r="L149" s="122"/>
      <c r="M149" s="475"/>
      <c r="N149" s="475"/>
      <c r="O149" s="23"/>
      <c r="P149" s="25"/>
      <c r="Q149" s="25"/>
      <c r="R149" s="25"/>
      <c r="S149" s="25"/>
      <c r="T149" s="25"/>
      <c r="U149" s="25"/>
      <c r="V149" s="25"/>
      <c r="W149" s="28"/>
      <c r="X149" s="124" t="s">
        <v>501</v>
      </c>
    </row>
    <row r="150" spans="1:24" s="162" customFormat="1" ht="21.95" hidden="1" customHeight="1">
      <c r="A150" s="110" t="s">
        <v>386</v>
      </c>
      <c r="B150" s="110" t="s">
        <v>664</v>
      </c>
      <c r="C150" s="110" t="str">
        <f t="shared" si="17"/>
        <v>접지용전선F-GV 150㎟</v>
      </c>
      <c r="D150" s="99" t="s">
        <v>407</v>
      </c>
      <c r="E150" s="475">
        <f t="shared" si="19"/>
        <v>14462</v>
      </c>
      <c r="F150" s="99"/>
      <c r="G150" s="475"/>
      <c r="H150" s="23">
        <v>1084</v>
      </c>
      <c r="I150" s="27">
        <v>18097</v>
      </c>
      <c r="J150" s="24" t="s">
        <v>604</v>
      </c>
      <c r="K150" s="27">
        <v>14462</v>
      </c>
      <c r="L150" s="122"/>
      <c r="M150" s="475"/>
      <c r="N150" s="475"/>
      <c r="O150" s="23"/>
      <c r="P150" s="25"/>
      <c r="Q150" s="25"/>
      <c r="R150" s="25"/>
      <c r="S150" s="25"/>
      <c r="T150" s="25"/>
      <c r="U150" s="25"/>
      <c r="V150" s="25"/>
      <c r="W150" s="28"/>
      <c r="X150" s="124" t="s">
        <v>501</v>
      </c>
    </row>
    <row r="151" spans="1:24" s="162" customFormat="1" ht="21.95" hidden="1" customHeight="1">
      <c r="A151" s="110" t="s">
        <v>1261</v>
      </c>
      <c r="B151" s="110" t="s">
        <v>1262</v>
      </c>
      <c r="C151" s="110" t="str">
        <f t="shared" si="17"/>
        <v>MOTOR SUPPORTW100xH1000mm</v>
      </c>
      <c r="D151" s="99" t="s">
        <v>407</v>
      </c>
      <c r="E151" s="475">
        <f t="shared" si="19"/>
        <v>53900</v>
      </c>
      <c r="F151" s="99"/>
      <c r="G151" s="475"/>
      <c r="H151" s="23">
        <v>902</v>
      </c>
      <c r="I151" s="27">
        <v>54000</v>
      </c>
      <c r="J151" s="24" t="s">
        <v>1274</v>
      </c>
      <c r="K151" s="27">
        <v>53900</v>
      </c>
      <c r="L151" s="122"/>
      <c r="M151" s="475"/>
      <c r="N151" s="475"/>
      <c r="O151" s="23"/>
      <c r="P151" s="25"/>
      <c r="Q151" s="25"/>
      <c r="R151" s="25"/>
      <c r="S151" s="25"/>
      <c r="T151" s="25"/>
      <c r="U151" s="25"/>
      <c r="V151" s="25"/>
      <c r="W151" s="28"/>
      <c r="X151" s="124"/>
    </row>
    <row r="152" spans="1:24" s="162" customFormat="1" ht="21.95" hidden="1" customHeight="1">
      <c r="A152" s="110" t="s">
        <v>1259</v>
      </c>
      <c r="B152" s="110" t="s">
        <v>1260</v>
      </c>
      <c r="C152" s="110" t="s">
        <v>1741</v>
      </c>
      <c r="D152" s="99" t="s">
        <v>419</v>
      </c>
      <c r="E152" s="475">
        <f>MIN(G152,I152,K152,L152,M152)</f>
        <v>230000</v>
      </c>
      <c r="F152" s="99"/>
      <c r="G152" s="475"/>
      <c r="H152" s="23">
        <v>211</v>
      </c>
      <c r="I152" s="475">
        <v>280000</v>
      </c>
      <c r="J152" s="24">
        <v>244</v>
      </c>
      <c r="K152" s="475">
        <v>230000</v>
      </c>
      <c r="L152" s="122"/>
      <c r="M152" s="475"/>
      <c r="N152" s="475"/>
      <c r="O152" s="23"/>
      <c r="P152" s="25"/>
      <c r="Q152" s="25"/>
      <c r="R152" s="25"/>
      <c r="S152" s="25"/>
      <c r="T152" s="25"/>
      <c r="U152" s="25"/>
      <c r="V152" s="25"/>
      <c r="W152" s="28"/>
      <c r="X152" s="124"/>
    </row>
    <row r="153" spans="1:24" s="162" customFormat="1" ht="21.95" hidden="1" customHeight="1">
      <c r="A153" s="110" t="s">
        <v>1258</v>
      </c>
      <c r="B153" s="110" t="s">
        <v>1474</v>
      </c>
      <c r="C153" s="110" t="s">
        <v>1742</v>
      </c>
      <c r="D153" s="99" t="s">
        <v>419</v>
      </c>
      <c r="E153" s="475">
        <f t="shared" si="19"/>
        <v>220000</v>
      </c>
      <c r="F153" s="99"/>
      <c r="G153" s="475"/>
      <c r="H153" s="23">
        <v>211</v>
      </c>
      <c r="I153" s="475">
        <v>220000</v>
      </c>
      <c r="J153" s="24">
        <v>244</v>
      </c>
      <c r="K153" s="475">
        <v>220000</v>
      </c>
      <c r="L153" s="122"/>
      <c r="M153" s="475"/>
      <c r="N153" s="475"/>
      <c r="O153" s="23"/>
      <c r="P153" s="25"/>
      <c r="Q153" s="25"/>
      <c r="R153" s="25"/>
      <c r="S153" s="25"/>
      <c r="T153" s="25"/>
      <c r="U153" s="25"/>
      <c r="V153" s="25"/>
      <c r="W153" s="28"/>
      <c r="X153" s="124"/>
    </row>
    <row r="154" spans="1:24" s="162" customFormat="1" ht="21.95" hidden="1" customHeight="1">
      <c r="A154" s="110" t="s">
        <v>442</v>
      </c>
      <c r="B154" s="110" t="s">
        <v>533</v>
      </c>
      <c r="C154" s="110" t="str">
        <f t="shared" si="17"/>
        <v>이면전선KIV 6㎟</v>
      </c>
      <c r="D154" s="99" t="s">
        <v>407</v>
      </c>
      <c r="E154" s="475">
        <f t="shared" si="19"/>
        <v>788</v>
      </c>
      <c r="F154" s="99"/>
      <c r="G154" s="475"/>
      <c r="H154" s="23">
        <v>1084</v>
      </c>
      <c r="I154" s="27">
        <v>794</v>
      </c>
      <c r="J154" s="24" t="s">
        <v>605</v>
      </c>
      <c r="K154" s="27">
        <v>788</v>
      </c>
      <c r="L154" s="122"/>
      <c r="M154" s="475"/>
      <c r="N154" s="475"/>
      <c r="O154" s="23"/>
      <c r="P154" s="25"/>
      <c r="Q154" s="25"/>
      <c r="R154" s="25"/>
      <c r="S154" s="25"/>
      <c r="T154" s="25"/>
      <c r="U154" s="25"/>
      <c r="V154" s="25"/>
      <c r="W154" s="28"/>
      <c r="X154" s="124"/>
    </row>
    <row r="155" spans="1:24" s="162" customFormat="1" ht="21.95" hidden="1" customHeight="1">
      <c r="A155" s="110" t="s">
        <v>734</v>
      </c>
      <c r="B155" s="110" t="s">
        <v>731</v>
      </c>
      <c r="C155" s="110" t="str">
        <f t="shared" si="17"/>
        <v>22.9KV동심알루미늄절연전선ACSR-OC 58㎟</v>
      </c>
      <c r="D155" s="99" t="s">
        <v>407</v>
      </c>
      <c r="E155" s="475">
        <f t="shared" si="19"/>
        <v>2061</v>
      </c>
      <c r="F155" s="99"/>
      <c r="G155" s="475"/>
      <c r="H155" s="23"/>
      <c r="I155" s="27"/>
      <c r="J155" s="24">
        <v>1211</v>
      </c>
      <c r="K155" s="27">
        <v>2061</v>
      </c>
      <c r="L155" s="122"/>
      <c r="M155" s="475"/>
      <c r="N155" s="475"/>
      <c r="O155" s="23"/>
      <c r="P155" s="25"/>
      <c r="Q155" s="25"/>
      <c r="R155" s="25"/>
      <c r="S155" s="25"/>
      <c r="T155" s="25"/>
      <c r="U155" s="25"/>
      <c r="V155" s="25"/>
      <c r="W155" s="28"/>
      <c r="X155" s="124"/>
    </row>
    <row r="156" spans="1:24" s="162" customFormat="1" ht="21.95" hidden="1" customHeight="1">
      <c r="A156" s="110" t="s">
        <v>735</v>
      </c>
      <c r="B156" s="110" t="s">
        <v>732</v>
      </c>
      <c r="C156" s="110" t="str">
        <f t="shared" si="17"/>
        <v>22.9KV동심알루미늄전선ACSR 58㎟</v>
      </c>
      <c r="D156" s="99" t="s">
        <v>407</v>
      </c>
      <c r="E156" s="475">
        <f t="shared" si="19"/>
        <v>1162</v>
      </c>
      <c r="F156" s="99"/>
      <c r="G156" s="475"/>
      <c r="H156" s="23"/>
      <c r="I156" s="27"/>
      <c r="J156" s="24">
        <v>1211</v>
      </c>
      <c r="K156" s="27">
        <v>1162</v>
      </c>
      <c r="L156" s="122"/>
      <c r="M156" s="475"/>
      <c r="N156" s="475"/>
      <c r="O156" s="23"/>
      <c r="P156" s="25"/>
      <c r="Q156" s="25"/>
      <c r="R156" s="25"/>
      <c r="S156" s="25"/>
      <c r="T156" s="25"/>
      <c r="U156" s="25"/>
      <c r="V156" s="25"/>
      <c r="W156" s="28"/>
      <c r="X156" s="124"/>
    </row>
    <row r="157" spans="1:24" s="162" customFormat="1" ht="21.95" hidden="1" customHeight="1">
      <c r="A157" s="110" t="s">
        <v>633</v>
      </c>
      <c r="B157" s="110" t="s">
        <v>859</v>
      </c>
      <c r="C157" s="110" t="str">
        <f t="shared" si="17"/>
        <v>UTP케이블CAT-5E 4P</v>
      </c>
      <c r="D157" s="99" t="s">
        <v>407</v>
      </c>
      <c r="E157" s="475">
        <f>MIN(G157,I157,K157,L157,M157)</f>
        <v>262</v>
      </c>
      <c r="F157" s="99"/>
      <c r="G157" s="475">
        <v>262</v>
      </c>
      <c r="H157" s="23">
        <v>1093</v>
      </c>
      <c r="I157" s="27">
        <v>470</v>
      </c>
      <c r="J157" s="24">
        <v>1208</v>
      </c>
      <c r="K157" s="27">
        <v>1100</v>
      </c>
      <c r="L157" s="122"/>
      <c r="M157" s="475"/>
      <c r="N157" s="475"/>
      <c r="O157" s="23"/>
      <c r="P157" s="25"/>
      <c r="Q157" s="25"/>
      <c r="R157" s="25"/>
      <c r="S157" s="25"/>
      <c r="T157" s="25"/>
      <c r="U157" s="25"/>
      <c r="V157" s="25"/>
      <c r="W157" s="28"/>
      <c r="X157" s="124"/>
    </row>
    <row r="158" spans="1:24" s="162" customFormat="1" ht="21.95" hidden="1" customHeight="1">
      <c r="A158" s="110" t="s">
        <v>953</v>
      </c>
      <c r="B158" s="110" t="s">
        <v>952</v>
      </c>
      <c r="C158" s="110" t="str">
        <f t="shared" si="17"/>
        <v>고발포동축케이블5C-HFBT</v>
      </c>
      <c r="D158" s="99" t="s">
        <v>407</v>
      </c>
      <c r="E158" s="383">
        <f>MIN(G158,I158,K158,L158,M158)</f>
        <v>300</v>
      </c>
      <c r="F158" s="99"/>
      <c r="G158" s="390">
        <v>344</v>
      </c>
      <c r="H158" s="483">
        <v>1089</v>
      </c>
      <c r="I158" s="390">
        <v>300</v>
      </c>
      <c r="J158" s="389" t="s">
        <v>955</v>
      </c>
      <c r="K158" s="390">
        <v>733</v>
      </c>
      <c r="L158" s="122"/>
      <c r="M158" s="475"/>
      <c r="N158" s="475"/>
      <c r="O158" s="23"/>
      <c r="P158" s="25"/>
      <c r="Q158" s="25"/>
      <c r="R158" s="25"/>
      <c r="S158" s="25"/>
      <c r="T158" s="25"/>
      <c r="U158" s="25"/>
      <c r="V158" s="25"/>
      <c r="W158" s="28"/>
      <c r="X158" s="124"/>
    </row>
    <row r="159" spans="1:24" s="162" customFormat="1" ht="21.95" hidden="1" customHeight="1">
      <c r="A159" s="110" t="s">
        <v>884</v>
      </c>
      <c r="B159" s="110" t="s">
        <v>885</v>
      </c>
      <c r="C159" s="110" t="str">
        <f t="shared" si="17"/>
        <v>데이터케이블AWG#24 2C</v>
      </c>
      <c r="D159" s="99" t="s">
        <v>407</v>
      </c>
      <c r="E159" s="475">
        <f>MIN(G159,I159,K159,L159,M159)</f>
        <v>260</v>
      </c>
      <c r="F159" s="99"/>
      <c r="G159" s="383"/>
      <c r="H159" s="387">
        <v>1090</v>
      </c>
      <c r="I159" s="27">
        <v>260</v>
      </c>
      <c r="J159" s="388" t="s">
        <v>908</v>
      </c>
      <c r="K159" s="27">
        <v>269</v>
      </c>
      <c r="L159" s="122"/>
      <c r="M159" s="475"/>
      <c r="N159" s="475"/>
      <c r="O159" s="23"/>
      <c r="P159" s="25"/>
      <c r="Q159" s="25"/>
      <c r="R159" s="25"/>
      <c r="S159" s="25"/>
      <c r="T159" s="25"/>
      <c r="U159" s="25"/>
      <c r="V159" s="25"/>
      <c r="W159" s="28"/>
      <c r="X159" s="124"/>
    </row>
    <row r="160" spans="1:24" s="162" customFormat="1" ht="21.95" hidden="1" customHeight="1">
      <c r="A160" s="110" t="s">
        <v>633</v>
      </c>
      <c r="B160" s="110" t="s">
        <v>1731</v>
      </c>
      <c r="C160" s="110" t="str">
        <f t="shared" si="17"/>
        <v>UTP케이블CAT-6 4P</v>
      </c>
      <c r="D160" s="99" t="s">
        <v>407</v>
      </c>
      <c r="E160" s="475">
        <f t="shared" si="19"/>
        <v>570</v>
      </c>
      <c r="F160" s="99"/>
      <c r="G160" s="390">
        <v>570</v>
      </c>
      <c r="H160" s="483">
        <v>1083</v>
      </c>
      <c r="I160" s="390">
        <v>1120</v>
      </c>
      <c r="J160" s="389">
        <v>1177</v>
      </c>
      <c r="K160" s="390">
        <v>1860</v>
      </c>
      <c r="L160" s="122"/>
      <c r="M160" s="475"/>
      <c r="N160" s="475"/>
      <c r="O160" s="23"/>
      <c r="P160" s="25"/>
      <c r="Q160" s="25"/>
      <c r="R160" s="25"/>
      <c r="S160" s="25"/>
      <c r="T160" s="25"/>
      <c r="U160" s="25"/>
      <c r="V160" s="25"/>
      <c r="W160" s="28"/>
      <c r="X160" s="124"/>
    </row>
    <row r="161" spans="1:24" s="162" customFormat="1" ht="21.95" hidden="1" customHeight="1">
      <c r="A161" s="110" t="s">
        <v>1365</v>
      </c>
      <c r="B161" s="123" t="s">
        <v>1364</v>
      </c>
      <c r="C161" s="110" t="str">
        <f t="shared" ref="C161" si="20">A161&amp;B161</f>
        <v>STP케이블STP CAT-6 4P</v>
      </c>
      <c r="D161" s="99" t="s">
        <v>407</v>
      </c>
      <c r="E161" s="475">
        <f t="shared" ref="E161" si="21">MIN(G161,I161,K161,L161,M161)</f>
        <v>1610</v>
      </c>
      <c r="F161" s="99"/>
      <c r="G161" s="390"/>
      <c r="H161" s="483">
        <v>1093</v>
      </c>
      <c r="I161" s="390">
        <v>1610</v>
      </c>
      <c r="J161" s="389"/>
      <c r="K161" s="390"/>
      <c r="L161" s="122"/>
      <c r="M161" s="475"/>
      <c r="N161" s="475"/>
      <c r="O161" s="23"/>
      <c r="P161" s="25"/>
      <c r="Q161" s="25"/>
      <c r="R161" s="25"/>
      <c r="S161" s="25"/>
      <c r="T161" s="25"/>
      <c r="U161" s="25"/>
      <c r="V161" s="25"/>
      <c r="W161" s="28"/>
      <c r="X161" s="124"/>
    </row>
    <row r="162" spans="1:24" s="162" customFormat="1" ht="21.95" hidden="1" customHeight="1">
      <c r="A162" s="110" t="s">
        <v>393</v>
      </c>
      <c r="B162" s="110" t="s">
        <v>394</v>
      </c>
      <c r="C162" s="110" t="str">
        <f t="shared" ref="C162:C169" si="22">A162&amp;B162</f>
        <v>AV케이블HDMI CABLE</v>
      </c>
      <c r="D162" s="99" t="s">
        <v>407</v>
      </c>
      <c r="E162" s="475">
        <f t="shared" ref="E162:E169" si="23">MIN(G162,I162,K162,L162,M162)</f>
        <v>19020</v>
      </c>
      <c r="F162" s="99"/>
      <c r="G162" s="475"/>
      <c r="H162" s="26"/>
      <c r="I162" s="27"/>
      <c r="J162" s="389" t="s">
        <v>1003</v>
      </c>
      <c r="K162" s="27">
        <v>19020</v>
      </c>
      <c r="L162" s="27"/>
      <c r="M162" s="475"/>
      <c r="N162" s="475"/>
      <c r="O162" s="23"/>
      <c r="P162" s="25"/>
      <c r="Q162" s="25"/>
      <c r="R162" s="25"/>
      <c r="S162" s="25"/>
      <c r="T162" s="25"/>
      <c r="U162" s="25"/>
      <c r="V162" s="25"/>
      <c r="W162" s="28"/>
      <c r="X162" s="124"/>
    </row>
    <row r="163" spans="1:24" s="162" customFormat="1" ht="21.95" hidden="1" customHeight="1">
      <c r="A163" s="110" t="s">
        <v>1321</v>
      </c>
      <c r="B163" s="110" t="s">
        <v>1322</v>
      </c>
      <c r="C163" s="110" t="str">
        <f t="shared" si="22"/>
        <v>압착단자나압착 16㎟</v>
      </c>
      <c r="D163" s="99" t="s">
        <v>595</v>
      </c>
      <c r="E163" s="475">
        <f t="shared" si="23"/>
        <v>113</v>
      </c>
      <c r="F163" s="99"/>
      <c r="G163" s="475">
        <v>113</v>
      </c>
      <c r="H163" s="23">
        <v>1102</v>
      </c>
      <c r="I163" s="27">
        <v>116</v>
      </c>
      <c r="J163" s="24" t="s">
        <v>1329</v>
      </c>
      <c r="K163" s="27">
        <v>166</v>
      </c>
      <c r="L163" s="122"/>
      <c r="M163" s="475"/>
      <c r="N163" s="475"/>
      <c r="O163" s="23"/>
      <c r="P163" s="25"/>
      <c r="Q163" s="25"/>
      <c r="R163" s="25"/>
      <c r="S163" s="25"/>
      <c r="T163" s="25"/>
      <c r="U163" s="25"/>
      <c r="V163" s="25"/>
      <c r="W163" s="28"/>
      <c r="X163" s="124"/>
    </row>
    <row r="164" spans="1:24" s="162" customFormat="1" ht="21.95" hidden="1" customHeight="1">
      <c r="A164" s="110" t="s">
        <v>1321</v>
      </c>
      <c r="B164" s="110" t="s">
        <v>1337</v>
      </c>
      <c r="C164" s="110" t="str">
        <f t="shared" si="22"/>
        <v>압착단자나압착 25㎟</v>
      </c>
      <c r="D164" s="99" t="s">
        <v>595</v>
      </c>
      <c r="E164" s="475">
        <f t="shared" si="23"/>
        <v>167</v>
      </c>
      <c r="F164" s="99"/>
      <c r="G164" s="475">
        <v>167</v>
      </c>
      <c r="H164" s="23">
        <v>1102</v>
      </c>
      <c r="I164" s="27">
        <v>182</v>
      </c>
      <c r="J164" s="24" t="s">
        <v>1342</v>
      </c>
      <c r="K164" s="27">
        <v>234</v>
      </c>
      <c r="L164" s="122"/>
      <c r="M164" s="475"/>
      <c r="N164" s="475"/>
      <c r="O164" s="23"/>
      <c r="P164" s="25"/>
      <c r="Q164" s="25"/>
      <c r="R164" s="25"/>
      <c r="S164" s="25"/>
      <c r="T164" s="25"/>
      <c r="U164" s="25"/>
      <c r="V164" s="25"/>
      <c r="W164" s="28"/>
      <c r="X164" s="124"/>
    </row>
    <row r="165" spans="1:24" s="162" customFormat="1" ht="21.95" hidden="1" customHeight="1">
      <c r="A165" s="110" t="s">
        <v>1323</v>
      </c>
      <c r="B165" s="110" t="s">
        <v>1351</v>
      </c>
      <c r="C165" s="110" t="str">
        <f t="shared" ref="C165" si="24">A165&amp;B165</f>
        <v>동관단자1HOLE 70㎟</v>
      </c>
      <c r="D165" s="99" t="s">
        <v>595</v>
      </c>
      <c r="E165" s="475">
        <f t="shared" ref="E165" si="25">MIN(G165,I165,K165,L165,M165)</f>
        <v>351</v>
      </c>
      <c r="F165" s="99"/>
      <c r="G165" s="475">
        <v>351</v>
      </c>
      <c r="H165" s="23">
        <v>1102</v>
      </c>
      <c r="I165" s="27">
        <v>626</v>
      </c>
      <c r="J165" s="24">
        <v>1228</v>
      </c>
      <c r="K165" s="27">
        <v>1783</v>
      </c>
      <c r="L165" s="122"/>
      <c r="M165" s="475"/>
      <c r="N165" s="475"/>
      <c r="O165" s="23"/>
      <c r="P165" s="25"/>
      <c r="Q165" s="25"/>
      <c r="R165" s="25"/>
      <c r="S165" s="25"/>
      <c r="T165" s="25"/>
      <c r="U165" s="25"/>
      <c r="V165" s="25"/>
      <c r="W165" s="28"/>
      <c r="X165" s="124"/>
    </row>
    <row r="166" spans="1:24" s="162" customFormat="1" ht="21.95" hidden="1" customHeight="1">
      <c r="A166" s="110" t="s">
        <v>1323</v>
      </c>
      <c r="B166" s="110" t="s">
        <v>1324</v>
      </c>
      <c r="C166" s="110" t="str">
        <f t="shared" si="22"/>
        <v>동관단자1HOLE 95㎟</v>
      </c>
      <c r="D166" s="99" t="s">
        <v>595</v>
      </c>
      <c r="E166" s="475">
        <f t="shared" si="23"/>
        <v>488</v>
      </c>
      <c r="F166" s="99"/>
      <c r="G166" s="475">
        <v>488</v>
      </c>
      <c r="H166" s="23">
        <v>1102</v>
      </c>
      <c r="I166" s="27">
        <v>876</v>
      </c>
      <c r="J166" s="24">
        <v>1228</v>
      </c>
      <c r="K166" s="27">
        <v>2521</v>
      </c>
      <c r="L166" s="122"/>
      <c r="M166" s="475"/>
      <c r="N166" s="475"/>
      <c r="O166" s="23"/>
      <c r="P166" s="25"/>
      <c r="Q166" s="25"/>
      <c r="R166" s="25"/>
      <c r="S166" s="25"/>
      <c r="T166" s="25"/>
      <c r="U166" s="25"/>
      <c r="V166" s="25"/>
      <c r="W166" s="28"/>
      <c r="X166" s="124"/>
    </row>
    <row r="167" spans="1:24" s="162" customFormat="1" ht="21.95" hidden="1" customHeight="1">
      <c r="A167" s="110" t="s">
        <v>1323</v>
      </c>
      <c r="B167" s="110" t="s">
        <v>1553</v>
      </c>
      <c r="C167" s="110" t="str">
        <f t="shared" si="22"/>
        <v>동관단자2HOLE 150㎟</v>
      </c>
      <c r="D167" s="99" t="s">
        <v>595</v>
      </c>
      <c r="E167" s="475">
        <f t="shared" si="23"/>
        <v>4280</v>
      </c>
      <c r="F167" s="99"/>
      <c r="G167" s="475"/>
      <c r="H167" s="23">
        <v>1100</v>
      </c>
      <c r="I167" s="27">
        <v>4280</v>
      </c>
      <c r="J167" s="24">
        <v>1197</v>
      </c>
      <c r="K167" s="27">
        <v>7130</v>
      </c>
      <c r="L167" s="122"/>
      <c r="M167" s="475"/>
      <c r="N167" s="475"/>
      <c r="O167" s="23"/>
      <c r="P167" s="25"/>
      <c r="Q167" s="25"/>
      <c r="R167" s="25"/>
      <c r="S167" s="25"/>
      <c r="T167" s="25"/>
      <c r="U167" s="25"/>
      <c r="V167" s="25"/>
      <c r="W167" s="28"/>
      <c r="X167" s="124"/>
    </row>
    <row r="168" spans="1:24" s="162" customFormat="1" ht="21.95" hidden="1" customHeight="1">
      <c r="A168" s="110" t="s">
        <v>1220</v>
      </c>
      <c r="B168" s="110" t="s">
        <v>1738</v>
      </c>
      <c r="C168" s="110" t="str">
        <f t="shared" si="22"/>
        <v>동관단자2HOLE 185㎟</v>
      </c>
      <c r="D168" s="99" t="s">
        <v>595</v>
      </c>
      <c r="E168" s="475">
        <f t="shared" si="23"/>
        <v>5660</v>
      </c>
      <c r="F168" s="99"/>
      <c r="G168" s="475"/>
      <c r="H168" s="23">
        <v>1100</v>
      </c>
      <c r="I168" s="27">
        <v>5660</v>
      </c>
      <c r="J168" s="24">
        <v>1197</v>
      </c>
      <c r="K168" s="27">
        <v>9439</v>
      </c>
      <c r="L168" s="122"/>
      <c r="M168" s="475"/>
      <c r="N168" s="475"/>
      <c r="O168" s="23"/>
      <c r="P168" s="25"/>
      <c r="Q168" s="25"/>
      <c r="R168" s="25"/>
      <c r="S168" s="25"/>
      <c r="T168" s="25"/>
      <c r="U168" s="25"/>
      <c r="V168" s="25"/>
      <c r="W168" s="28"/>
      <c r="X168" s="124"/>
    </row>
    <row r="169" spans="1:24" s="162" customFormat="1" ht="21.95" hidden="1" customHeight="1">
      <c r="A169" s="110" t="s">
        <v>1345</v>
      </c>
      <c r="B169" s="231" t="s">
        <v>1346</v>
      </c>
      <c r="C169" s="110" t="str">
        <f t="shared" si="22"/>
        <v>케이블단말처리재23KV 1/C 60㎟</v>
      </c>
      <c r="D169" s="99" t="s">
        <v>595</v>
      </c>
      <c r="E169" s="475">
        <f t="shared" si="23"/>
        <v>55500</v>
      </c>
      <c r="F169" s="99"/>
      <c r="G169" s="475">
        <v>55500</v>
      </c>
      <c r="H169" s="23">
        <v>1104</v>
      </c>
      <c r="I169" s="27">
        <v>62300</v>
      </c>
      <c r="J169" s="24">
        <v>1227</v>
      </c>
      <c r="K169" s="27">
        <v>66000</v>
      </c>
      <c r="L169" s="122"/>
      <c r="M169" s="475"/>
      <c r="N169" s="475"/>
      <c r="O169" s="23"/>
      <c r="P169" s="25"/>
      <c r="Q169" s="25"/>
      <c r="R169" s="25"/>
      <c r="S169" s="25"/>
      <c r="T169" s="25"/>
      <c r="U169" s="25"/>
      <c r="V169" s="25"/>
      <c r="W169" s="28"/>
      <c r="X169" s="124"/>
    </row>
    <row r="170" spans="1:24" s="162" customFormat="1" ht="21.95" hidden="1" customHeight="1">
      <c r="A170" s="110" t="s">
        <v>443</v>
      </c>
      <c r="B170" s="110" t="s">
        <v>1272</v>
      </c>
      <c r="C170" s="110" t="str">
        <f t="shared" ref="C170:C215" si="26">A170&amp;B170</f>
        <v>접지동봉14Φx1000㎜</v>
      </c>
      <c r="D170" s="99" t="s">
        <v>595</v>
      </c>
      <c r="E170" s="475">
        <f t="shared" si="19"/>
        <v>2880</v>
      </c>
      <c r="F170" s="99"/>
      <c r="G170" s="475">
        <v>2880</v>
      </c>
      <c r="H170" s="23">
        <v>1206</v>
      </c>
      <c r="I170" s="475">
        <v>3900</v>
      </c>
      <c r="J170" s="24">
        <v>1300</v>
      </c>
      <c r="K170" s="475">
        <v>4100</v>
      </c>
      <c r="L170" s="122"/>
      <c r="M170" s="475"/>
      <c r="N170" s="475"/>
      <c r="O170" s="23"/>
      <c r="P170" s="25"/>
      <c r="Q170" s="25"/>
      <c r="R170" s="25"/>
      <c r="S170" s="25"/>
      <c r="T170" s="25"/>
      <c r="U170" s="25"/>
      <c r="V170" s="25"/>
      <c r="W170" s="28"/>
      <c r="X170" s="124" t="s">
        <v>501</v>
      </c>
    </row>
    <row r="171" spans="1:24" s="162" customFormat="1" ht="21.95" hidden="1" customHeight="1">
      <c r="A171" s="110" t="s">
        <v>443</v>
      </c>
      <c r="B171" s="110" t="s">
        <v>445</v>
      </c>
      <c r="C171" s="110" t="str">
        <f t="shared" si="26"/>
        <v>접지동봉16Φx1800㎜</v>
      </c>
      <c r="D171" s="99" t="s">
        <v>444</v>
      </c>
      <c r="E171" s="475">
        <f t="shared" si="19"/>
        <v>4360</v>
      </c>
      <c r="F171" s="99"/>
      <c r="G171" s="475">
        <v>4360</v>
      </c>
      <c r="H171" s="26">
        <v>1206</v>
      </c>
      <c r="I171" s="29">
        <v>6900</v>
      </c>
      <c r="J171" s="24">
        <v>1300</v>
      </c>
      <c r="K171" s="27">
        <v>9200</v>
      </c>
      <c r="L171" s="122"/>
      <c r="M171" s="475"/>
      <c r="N171" s="475"/>
      <c r="O171" s="23"/>
      <c r="P171" s="25"/>
      <c r="Q171" s="25"/>
      <c r="R171" s="25"/>
      <c r="S171" s="25"/>
      <c r="T171" s="25"/>
      <c r="U171" s="25"/>
      <c r="V171" s="25"/>
      <c r="W171" s="28"/>
      <c r="X171" s="124" t="s">
        <v>501</v>
      </c>
    </row>
    <row r="172" spans="1:24" s="162" customFormat="1" ht="21.95" hidden="1" customHeight="1">
      <c r="A172" s="110" t="s">
        <v>443</v>
      </c>
      <c r="B172" s="110" t="s">
        <v>446</v>
      </c>
      <c r="C172" s="110" t="str">
        <f t="shared" si="26"/>
        <v>접지동봉16Φx1800㎜X3EA</v>
      </c>
      <c r="D172" s="99" t="s">
        <v>444</v>
      </c>
      <c r="E172" s="475">
        <f t="shared" si="19"/>
        <v>13080</v>
      </c>
      <c r="F172" s="99"/>
      <c r="G172" s="383">
        <f>4360*3</f>
        <v>13080</v>
      </c>
      <c r="H172" s="26">
        <v>1206</v>
      </c>
      <c r="I172" s="484">
        <f>6900*3</f>
        <v>20700</v>
      </c>
      <c r="J172" s="24">
        <v>1300</v>
      </c>
      <c r="K172" s="27">
        <f>9200*3</f>
        <v>27600</v>
      </c>
      <c r="L172" s="122"/>
      <c r="M172" s="475"/>
      <c r="N172" s="475"/>
      <c r="O172" s="23"/>
      <c r="P172" s="25"/>
      <c r="Q172" s="25"/>
      <c r="R172" s="25"/>
      <c r="S172" s="25"/>
      <c r="T172" s="25"/>
      <c r="U172" s="25"/>
      <c r="V172" s="25"/>
      <c r="W172" s="28"/>
      <c r="X172" s="124" t="s">
        <v>501</v>
      </c>
    </row>
    <row r="173" spans="1:24" s="162" customFormat="1" ht="21.95" hidden="1" customHeight="1">
      <c r="A173" s="110" t="s">
        <v>443</v>
      </c>
      <c r="B173" s="110" t="s">
        <v>79</v>
      </c>
      <c r="C173" s="110" t="str">
        <f t="shared" si="26"/>
        <v>접지동봉18Φx2400㎜</v>
      </c>
      <c r="D173" s="99" t="s">
        <v>595</v>
      </c>
      <c r="E173" s="475">
        <f t="shared" si="19"/>
        <v>8500</v>
      </c>
      <c r="F173" s="99"/>
      <c r="G173" s="475"/>
      <c r="H173" s="26">
        <v>1189</v>
      </c>
      <c r="I173" s="29">
        <v>11500</v>
      </c>
      <c r="J173" s="24" t="s">
        <v>80</v>
      </c>
      <c r="K173" s="27">
        <v>8500</v>
      </c>
      <c r="L173" s="122"/>
      <c r="M173" s="475"/>
      <c r="N173" s="475"/>
      <c r="O173" s="23"/>
      <c r="P173" s="25"/>
      <c r="Q173" s="25"/>
      <c r="R173" s="25"/>
      <c r="S173" s="25"/>
      <c r="T173" s="25"/>
      <c r="U173" s="25"/>
      <c r="V173" s="25"/>
      <c r="W173" s="28"/>
      <c r="X173" s="124"/>
    </row>
    <row r="174" spans="1:24" s="162" customFormat="1" ht="21.95" customHeight="1">
      <c r="A174" s="110" t="s">
        <v>443</v>
      </c>
      <c r="B174" s="110" t="s">
        <v>153</v>
      </c>
      <c r="C174" s="110" t="str">
        <f t="shared" si="26"/>
        <v>접지동봉18Φx2400㎜X6EA</v>
      </c>
      <c r="D174" s="99" t="s">
        <v>444</v>
      </c>
      <c r="E174" s="475">
        <f t="shared" si="19"/>
        <v>51000</v>
      </c>
      <c r="F174" s="99"/>
      <c r="G174" s="475"/>
      <c r="H174" s="26">
        <v>1198</v>
      </c>
      <c r="I174" s="29">
        <f>I173*6</f>
        <v>69000</v>
      </c>
      <c r="J174" s="24">
        <v>1270</v>
      </c>
      <c r="K174" s="29">
        <f>K173*6</f>
        <v>51000</v>
      </c>
      <c r="L174" s="122"/>
      <c r="M174" s="475"/>
      <c r="N174" s="475"/>
      <c r="O174" s="23"/>
      <c r="P174" s="25"/>
      <c r="Q174" s="25"/>
      <c r="R174" s="25"/>
      <c r="S174" s="25"/>
      <c r="T174" s="25"/>
      <c r="U174" s="25"/>
      <c r="V174" s="25"/>
      <c r="W174" s="28"/>
      <c r="X174" s="124"/>
    </row>
    <row r="175" spans="1:24" s="162" customFormat="1" ht="21.95" hidden="1" customHeight="1">
      <c r="A175" s="110" t="s">
        <v>768</v>
      </c>
      <c r="B175" s="110" t="s">
        <v>769</v>
      </c>
      <c r="C175" s="110" t="str">
        <f t="shared" ref="C175:C185" si="27">A175&amp;B175</f>
        <v>수막처리봉Φ18x500L</v>
      </c>
      <c r="D175" s="99" t="s">
        <v>419</v>
      </c>
      <c r="E175" s="475">
        <f t="shared" ref="E175:E184" si="28">MIN(G175,I175,K175,L175,M175)</f>
        <v>45000</v>
      </c>
      <c r="F175" s="99"/>
      <c r="G175" s="475"/>
      <c r="H175" s="26">
        <v>1189</v>
      </c>
      <c r="I175" s="29">
        <v>55000</v>
      </c>
      <c r="J175" s="24" t="s">
        <v>771</v>
      </c>
      <c r="K175" s="29">
        <v>45000</v>
      </c>
      <c r="L175" s="122"/>
      <c r="M175" s="475"/>
      <c r="N175" s="475"/>
      <c r="O175" s="23"/>
      <c r="P175" s="25"/>
      <c r="Q175" s="25"/>
      <c r="R175" s="25"/>
      <c r="S175" s="25"/>
      <c r="T175" s="25"/>
      <c r="U175" s="25"/>
      <c r="V175" s="25"/>
      <c r="W175" s="28"/>
      <c r="X175" s="124"/>
    </row>
    <row r="176" spans="1:24" s="162" customFormat="1" ht="21.95" hidden="1" customHeight="1">
      <c r="A176" s="110" t="s">
        <v>1297</v>
      </c>
      <c r="B176" s="110" t="s">
        <v>1298</v>
      </c>
      <c r="C176" s="110" t="str">
        <f t="shared" si="27"/>
        <v>접지단자반SUS, 2CCT</v>
      </c>
      <c r="D176" s="99" t="s">
        <v>595</v>
      </c>
      <c r="E176" s="475">
        <f t="shared" si="28"/>
        <v>120900</v>
      </c>
      <c r="F176" s="99"/>
      <c r="G176" s="475">
        <v>120900</v>
      </c>
      <c r="H176" s="26">
        <v>1207</v>
      </c>
      <c r="I176" s="29">
        <v>198750</v>
      </c>
      <c r="J176" s="24"/>
      <c r="K176" s="27"/>
      <c r="L176" s="122"/>
      <c r="M176" s="475"/>
      <c r="N176" s="475"/>
      <c r="O176" s="23"/>
      <c r="P176" s="25"/>
      <c r="Q176" s="25"/>
      <c r="R176" s="25"/>
      <c r="S176" s="25"/>
      <c r="T176" s="25"/>
      <c r="U176" s="25"/>
      <c r="V176" s="25"/>
      <c r="W176" s="28"/>
      <c r="X176" s="124" t="s">
        <v>501</v>
      </c>
    </row>
    <row r="177" spans="1:24" s="162" customFormat="1" ht="21.95" hidden="1" customHeight="1">
      <c r="A177" s="110" t="s">
        <v>1253</v>
      </c>
      <c r="B177" s="110" t="s">
        <v>1254</v>
      </c>
      <c r="C177" s="110" t="str">
        <f t="shared" si="27"/>
        <v>접지저항저감제10KG</v>
      </c>
      <c r="D177" s="99" t="s">
        <v>1255</v>
      </c>
      <c r="E177" s="475">
        <f t="shared" si="28"/>
        <v>10000</v>
      </c>
      <c r="F177" s="99"/>
      <c r="G177" s="475"/>
      <c r="H177" s="26">
        <v>1207</v>
      </c>
      <c r="I177" s="29">
        <v>10500</v>
      </c>
      <c r="J177" s="24" t="s">
        <v>1256</v>
      </c>
      <c r="K177" s="29">
        <v>10000</v>
      </c>
      <c r="L177" s="122"/>
      <c r="M177" s="475"/>
      <c r="N177" s="475"/>
      <c r="O177" s="23"/>
      <c r="P177" s="25"/>
      <c r="Q177" s="25"/>
      <c r="R177" s="25"/>
      <c r="S177" s="25"/>
      <c r="T177" s="25"/>
      <c r="U177" s="25"/>
      <c r="V177" s="25"/>
      <c r="W177" s="28"/>
      <c r="X177" s="124"/>
    </row>
    <row r="178" spans="1:24" s="162" customFormat="1" ht="21.95" hidden="1" customHeight="1">
      <c r="A178" s="110" t="s">
        <v>1280</v>
      </c>
      <c r="B178" s="110"/>
      <c r="C178" s="110" t="str">
        <f t="shared" si="27"/>
        <v>본딩블럭</v>
      </c>
      <c r="D178" s="99" t="s">
        <v>595</v>
      </c>
      <c r="E178" s="475">
        <f t="shared" si="28"/>
        <v>30000</v>
      </c>
      <c r="F178" s="99"/>
      <c r="G178" s="475"/>
      <c r="H178" s="26" t="s">
        <v>1283</v>
      </c>
      <c r="I178" s="29">
        <v>35000</v>
      </c>
      <c r="J178" s="24" t="s">
        <v>1281</v>
      </c>
      <c r="K178" s="29">
        <v>30000</v>
      </c>
      <c r="L178" s="122"/>
      <c r="M178" s="475"/>
      <c r="N178" s="475"/>
      <c r="O178" s="23"/>
      <c r="P178" s="25"/>
      <c r="Q178" s="25"/>
      <c r="R178" s="25"/>
      <c r="S178" s="25"/>
      <c r="T178" s="25"/>
      <c r="U178" s="25"/>
      <c r="V178" s="25"/>
      <c r="W178" s="28"/>
      <c r="X178" s="124"/>
    </row>
    <row r="179" spans="1:24" s="162" customFormat="1" ht="21.95" hidden="1" customHeight="1">
      <c r="A179" s="110" t="s">
        <v>1278</v>
      </c>
      <c r="B179" s="110" t="s">
        <v>1279</v>
      </c>
      <c r="C179" s="110" t="str">
        <f t="shared" si="27"/>
        <v>구조체연속성측정함상-1CCT, 하-2CCT</v>
      </c>
      <c r="D179" s="99" t="s">
        <v>595</v>
      </c>
      <c r="E179" s="475">
        <f t="shared" si="28"/>
        <v>180000</v>
      </c>
      <c r="F179" s="99"/>
      <c r="G179" s="475"/>
      <c r="H179" s="26" t="s">
        <v>1284</v>
      </c>
      <c r="I179" s="29">
        <v>189000</v>
      </c>
      <c r="J179" s="24" t="s">
        <v>1282</v>
      </c>
      <c r="K179" s="29">
        <v>180000</v>
      </c>
      <c r="L179" s="122"/>
      <c r="M179" s="475"/>
      <c r="N179" s="475"/>
      <c r="O179" s="23"/>
      <c r="P179" s="25"/>
      <c r="Q179" s="25"/>
      <c r="R179" s="25"/>
      <c r="S179" s="25"/>
      <c r="T179" s="25"/>
      <c r="U179" s="25"/>
      <c r="V179" s="25"/>
      <c r="W179" s="28"/>
      <c r="X179" s="124"/>
    </row>
    <row r="180" spans="1:24" s="162" customFormat="1" ht="21.95" hidden="1" customHeight="1">
      <c r="A180" s="110" t="s">
        <v>1287</v>
      </c>
      <c r="B180" s="110" t="s">
        <v>1246</v>
      </c>
      <c r="C180" s="110" t="str">
        <f t="shared" si="27"/>
        <v>발열용접지자재MOLD, MEDIUM</v>
      </c>
      <c r="D180" s="99" t="s">
        <v>419</v>
      </c>
      <c r="E180" s="475">
        <f t="shared" si="28"/>
        <v>57000</v>
      </c>
      <c r="F180" s="99"/>
      <c r="G180" s="475"/>
      <c r="H180" s="26">
        <v>1207</v>
      </c>
      <c r="I180" s="29">
        <v>57000</v>
      </c>
      <c r="J180" s="24" t="s">
        <v>1247</v>
      </c>
      <c r="K180" s="29">
        <v>70000</v>
      </c>
      <c r="L180" s="122"/>
      <c r="M180" s="475"/>
      <c r="N180" s="475"/>
      <c r="O180" s="23"/>
      <c r="P180" s="25"/>
      <c r="Q180" s="25"/>
      <c r="R180" s="25"/>
      <c r="S180" s="25"/>
      <c r="T180" s="25"/>
      <c r="U180" s="25"/>
      <c r="V180" s="25"/>
      <c r="W180" s="28"/>
      <c r="X180" s="124"/>
    </row>
    <row r="181" spans="1:24" s="162" customFormat="1" ht="21.95" hidden="1" customHeight="1">
      <c r="A181" s="110" t="s">
        <v>1287</v>
      </c>
      <c r="B181" s="110" t="s">
        <v>1277</v>
      </c>
      <c r="C181" s="110" t="str">
        <f t="shared" si="27"/>
        <v>발열용접지자재POWER #32</v>
      </c>
      <c r="D181" s="99" t="s">
        <v>419</v>
      </c>
      <c r="E181" s="475">
        <f t="shared" si="28"/>
        <v>1950</v>
      </c>
      <c r="F181" s="99"/>
      <c r="G181" s="475"/>
      <c r="H181" s="26">
        <v>1207</v>
      </c>
      <c r="I181" s="29">
        <v>1950</v>
      </c>
      <c r="J181" s="24" t="s">
        <v>1247</v>
      </c>
      <c r="K181" s="29">
        <v>4500</v>
      </c>
      <c r="L181" s="122"/>
      <c r="M181" s="475"/>
      <c r="N181" s="475"/>
      <c r="O181" s="23"/>
      <c r="P181" s="25"/>
      <c r="Q181" s="25"/>
      <c r="R181" s="25"/>
      <c r="S181" s="25"/>
      <c r="T181" s="25"/>
      <c r="U181" s="25"/>
      <c r="V181" s="25"/>
      <c r="W181" s="28"/>
      <c r="X181" s="124"/>
    </row>
    <row r="182" spans="1:24" s="162" customFormat="1" ht="21.95" hidden="1" customHeight="1">
      <c r="A182" s="110" t="s">
        <v>1288</v>
      </c>
      <c r="B182" s="110" t="s">
        <v>1248</v>
      </c>
      <c r="C182" s="110" t="str">
        <f t="shared" si="27"/>
        <v>발열용접지자재POWER #115</v>
      </c>
      <c r="D182" s="99" t="s">
        <v>419</v>
      </c>
      <c r="E182" s="475">
        <f t="shared" si="28"/>
        <v>4500</v>
      </c>
      <c r="F182" s="99"/>
      <c r="G182" s="475"/>
      <c r="H182" s="26">
        <v>1207</v>
      </c>
      <c r="I182" s="29">
        <v>4500</v>
      </c>
      <c r="J182" s="24" t="s">
        <v>1247</v>
      </c>
      <c r="K182" s="29">
        <v>5000</v>
      </c>
      <c r="L182" s="122"/>
      <c r="M182" s="475"/>
      <c r="N182" s="475"/>
      <c r="O182" s="23"/>
      <c r="P182" s="25"/>
      <c r="Q182" s="25"/>
      <c r="R182" s="25"/>
      <c r="S182" s="25"/>
      <c r="T182" s="25"/>
      <c r="U182" s="25"/>
      <c r="V182" s="25"/>
      <c r="W182" s="28"/>
      <c r="X182" s="124"/>
    </row>
    <row r="183" spans="1:24" s="162" customFormat="1" ht="21.95" hidden="1" customHeight="1">
      <c r="A183" s="110" t="s">
        <v>1249</v>
      </c>
      <c r="B183" s="110" t="s">
        <v>1250</v>
      </c>
      <c r="C183" s="110" t="str">
        <f t="shared" si="27"/>
        <v>HANDLE CLAMPMEDIUM</v>
      </c>
      <c r="D183" s="99" t="s">
        <v>419</v>
      </c>
      <c r="E183" s="475">
        <f t="shared" si="28"/>
        <v>49500</v>
      </c>
      <c r="F183" s="99"/>
      <c r="G183" s="475"/>
      <c r="H183" s="26">
        <v>1207</v>
      </c>
      <c r="I183" s="29">
        <v>49500</v>
      </c>
      <c r="J183" s="24" t="s">
        <v>1251</v>
      </c>
      <c r="K183" s="29">
        <v>60000</v>
      </c>
      <c r="L183" s="122"/>
      <c r="M183" s="475"/>
      <c r="N183" s="475"/>
      <c r="O183" s="23"/>
      <c r="P183" s="25"/>
      <c r="Q183" s="25"/>
      <c r="R183" s="25"/>
      <c r="S183" s="25"/>
      <c r="T183" s="25"/>
      <c r="U183" s="25"/>
      <c r="V183" s="25"/>
      <c r="W183" s="28"/>
      <c r="X183" s="124"/>
    </row>
    <row r="184" spans="1:24" s="162" customFormat="1" ht="21.95" hidden="1" customHeight="1">
      <c r="A184" s="110" t="s">
        <v>1252</v>
      </c>
      <c r="B184" s="110">
        <v>0</v>
      </c>
      <c r="C184" s="110" t="str">
        <f t="shared" si="27"/>
        <v>FLINT GUN0</v>
      </c>
      <c r="D184" s="99" t="s">
        <v>419</v>
      </c>
      <c r="E184" s="475">
        <f t="shared" si="28"/>
        <v>7000</v>
      </c>
      <c r="F184" s="99"/>
      <c r="G184" s="475"/>
      <c r="H184" s="26">
        <v>1207</v>
      </c>
      <c r="I184" s="29">
        <v>15000</v>
      </c>
      <c r="J184" s="24" t="s">
        <v>1251</v>
      </c>
      <c r="K184" s="29">
        <v>7000</v>
      </c>
      <c r="L184" s="122"/>
      <c r="M184" s="475"/>
      <c r="N184" s="475"/>
      <c r="O184" s="23"/>
      <c r="P184" s="25"/>
      <c r="Q184" s="25"/>
      <c r="R184" s="25"/>
      <c r="S184" s="25"/>
      <c r="T184" s="25"/>
      <c r="U184" s="25"/>
      <c r="V184" s="25"/>
      <c r="W184" s="28"/>
      <c r="X184" s="124"/>
    </row>
    <row r="185" spans="1:24" s="162" customFormat="1" ht="21.95" hidden="1" customHeight="1">
      <c r="A185" s="110" t="s">
        <v>81</v>
      </c>
      <c r="B185" s="110" t="s">
        <v>245</v>
      </c>
      <c r="C185" s="110" t="str">
        <f t="shared" si="27"/>
        <v>관로구방수장치Φ30</v>
      </c>
      <c r="D185" s="99" t="s">
        <v>444</v>
      </c>
      <c r="E185" s="475">
        <f t="shared" si="19"/>
        <v>10650</v>
      </c>
      <c r="F185" s="99"/>
      <c r="G185" s="475"/>
      <c r="H185" s="26">
        <v>1237</v>
      </c>
      <c r="I185" s="29">
        <v>10650</v>
      </c>
      <c r="J185" s="24"/>
      <c r="K185" s="29"/>
      <c r="L185" s="122"/>
      <c r="M185" s="475"/>
      <c r="N185" s="475"/>
      <c r="O185" s="23"/>
      <c r="P185" s="25"/>
      <c r="Q185" s="25"/>
      <c r="R185" s="25"/>
      <c r="S185" s="25"/>
      <c r="T185" s="25"/>
      <c r="U185" s="25"/>
      <c r="V185" s="25"/>
      <c r="W185" s="28"/>
      <c r="X185" s="124"/>
    </row>
    <row r="186" spans="1:24" s="162" customFormat="1" ht="21.95" hidden="1" customHeight="1">
      <c r="A186" s="110" t="s">
        <v>81</v>
      </c>
      <c r="B186" s="110" t="s">
        <v>139</v>
      </c>
      <c r="C186" s="110" t="str">
        <f t="shared" si="26"/>
        <v>관로구방수장치Φ40</v>
      </c>
      <c r="D186" s="99" t="s">
        <v>444</v>
      </c>
      <c r="E186" s="475">
        <f t="shared" si="19"/>
        <v>11400</v>
      </c>
      <c r="F186" s="99"/>
      <c r="G186" s="475"/>
      <c r="H186" s="26">
        <v>1237</v>
      </c>
      <c r="I186" s="29">
        <v>11400</v>
      </c>
      <c r="J186" s="24"/>
      <c r="K186" s="29"/>
      <c r="L186" s="122"/>
      <c r="M186" s="475"/>
      <c r="N186" s="475"/>
      <c r="O186" s="23"/>
      <c r="P186" s="25"/>
      <c r="Q186" s="25"/>
      <c r="R186" s="25"/>
      <c r="S186" s="25"/>
      <c r="T186" s="25"/>
      <c r="U186" s="25"/>
      <c r="V186" s="25"/>
      <c r="W186" s="28"/>
      <c r="X186" s="124"/>
    </row>
    <row r="187" spans="1:24" s="162" customFormat="1" ht="21.95" hidden="1" customHeight="1">
      <c r="A187" s="110" t="s">
        <v>81</v>
      </c>
      <c r="B187" s="110" t="s">
        <v>246</v>
      </c>
      <c r="C187" s="110" t="str">
        <f>A187&amp;B187</f>
        <v>관로구방수장치Φ50</v>
      </c>
      <c r="D187" s="99" t="s">
        <v>444</v>
      </c>
      <c r="E187" s="475">
        <f t="shared" si="19"/>
        <v>12300</v>
      </c>
      <c r="F187" s="99"/>
      <c r="G187" s="475"/>
      <c r="H187" s="26">
        <v>1237</v>
      </c>
      <c r="I187" s="29">
        <v>12300</v>
      </c>
      <c r="J187" s="24"/>
      <c r="K187" s="29"/>
      <c r="L187" s="122"/>
      <c r="M187" s="475"/>
      <c r="N187" s="475"/>
      <c r="O187" s="23"/>
      <c r="P187" s="25"/>
      <c r="Q187" s="25"/>
      <c r="R187" s="25"/>
      <c r="S187" s="25"/>
      <c r="T187" s="25"/>
      <c r="U187" s="25"/>
      <c r="V187" s="25"/>
      <c r="W187" s="28"/>
      <c r="X187" s="124"/>
    </row>
    <row r="188" spans="1:24" s="162" customFormat="1" ht="21.95" hidden="1" customHeight="1">
      <c r="A188" s="110" t="s">
        <v>81</v>
      </c>
      <c r="B188" s="110" t="s">
        <v>760</v>
      </c>
      <c r="C188" s="110" t="str">
        <f>A188&amp;B188</f>
        <v>관로구방수장치Φ65</v>
      </c>
      <c r="D188" s="99" t="s">
        <v>444</v>
      </c>
      <c r="E188" s="475">
        <f>MIN(G188,I188,K188,L188,M188)</f>
        <v>16800</v>
      </c>
      <c r="F188" s="99"/>
      <c r="G188" s="475"/>
      <c r="H188" s="26">
        <v>1237</v>
      </c>
      <c r="I188" s="29">
        <v>16800</v>
      </c>
      <c r="J188" s="24"/>
      <c r="K188" s="29"/>
      <c r="L188" s="122"/>
      <c r="M188" s="475"/>
      <c r="N188" s="475"/>
      <c r="O188" s="23"/>
      <c r="P188" s="25"/>
      <c r="Q188" s="25"/>
      <c r="R188" s="25"/>
      <c r="S188" s="25"/>
      <c r="T188" s="25"/>
      <c r="U188" s="25"/>
      <c r="V188" s="25"/>
      <c r="W188" s="28"/>
      <c r="X188" s="124"/>
    </row>
    <row r="189" spans="1:24" s="162" customFormat="1" ht="21.95" hidden="1" customHeight="1">
      <c r="A189" s="110" t="s">
        <v>81</v>
      </c>
      <c r="B189" s="110" t="s">
        <v>138</v>
      </c>
      <c r="C189" s="110" t="str">
        <f t="shared" si="26"/>
        <v>관로구방수장치Φ80</v>
      </c>
      <c r="D189" s="99" t="s">
        <v>444</v>
      </c>
      <c r="E189" s="475">
        <f t="shared" si="19"/>
        <v>18000</v>
      </c>
      <c r="F189" s="99"/>
      <c r="G189" s="475"/>
      <c r="H189" s="26">
        <v>1237</v>
      </c>
      <c r="I189" s="29">
        <v>18000</v>
      </c>
      <c r="J189" s="24"/>
      <c r="K189" s="29"/>
      <c r="L189" s="122"/>
      <c r="M189" s="475"/>
      <c r="N189" s="475"/>
      <c r="O189" s="23"/>
      <c r="P189" s="25"/>
      <c r="Q189" s="25"/>
      <c r="R189" s="25"/>
      <c r="S189" s="25"/>
      <c r="T189" s="25"/>
      <c r="U189" s="25"/>
      <c r="V189" s="25"/>
      <c r="W189" s="28"/>
      <c r="X189" s="124"/>
    </row>
    <row r="190" spans="1:24" s="162" customFormat="1" ht="21.95" hidden="1" customHeight="1">
      <c r="A190" s="110" t="s">
        <v>81</v>
      </c>
      <c r="B190" s="110" t="s">
        <v>837</v>
      </c>
      <c r="C190" s="110" t="str">
        <f>A190&amp;B190</f>
        <v>관로구방수장치Φ100</v>
      </c>
      <c r="D190" s="99" t="s">
        <v>444</v>
      </c>
      <c r="E190" s="475">
        <f>MIN(G190,I190,K190,L190,M190)</f>
        <v>19500</v>
      </c>
      <c r="F190" s="99"/>
      <c r="G190" s="475"/>
      <c r="H190" s="26">
        <v>1237</v>
      </c>
      <c r="I190" s="29">
        <v>19500</v>
      </c>
      <c r="J190" s="24"/>
      <c r="K190" s="29"/>
      <c r="L190" s="122"/>
      <c r="M190" s="475"/>
      <c r="N190" s="475"/>
      <c r="O190" s="23"/>
      <c r="P190" s="25"/>
      <c r="Q190" s="25"/>
      <c r="R190" s="25"/>
      <c r="S190" s="25"/>
      <c r="T190" s="25"/>
      <c r="U190" s="25"/>
      <c r="V190" s="25"/>
      <c r="W190" s="28"/>
      <c r="X190" s="124"/>
    </row>
    <row r="191" spans="1:24" s="162" customFormat="1" ht="21.95" hidden="1" customHeight="1">
      <c r="A191" s="110" t="s">
        <v>81</v>
      </c>
      <c r="B191" s="110" t="s">
        <v>131</v>
      </c>
      <c r="C191" s="110" t="str">
        <f t="shared" si="26"/>
        <v>관로구방수장치Φ125</v>
      </c>
      <c r="D191" s="99" t="s">
        <v>444</v>
      </c>
      <c r="E191" s="475">
        <f t="shared" si="19"/>
        <v>30600</v>
      </c>
      <c r="F191" s="99"/>
      <c r="G191" s="475"/>
      <c r="H191" s="26">
        <v>1237</v>
      </c>
      <c r="I191" s="29">
        <v>30600</v>
      </c>
      <c r="J191" s="24"/>
      <c r="K191" s="29"/>
      <c r="L191" s="122"/>
      <c r="M191" s="475"/>
      <c r="N191" s="475"/>
      <c r="O191" s="23"/>
      <c r="P191" s="25"/>
      <c r="Q191" s="25"/>
      <c r="R191" s="25"/>
      <c r="S191" s="25"/>
      <c r="T191" s="25"/>
      <c r="U191" s="25"/>
      <c r="V191" s="25"/>
      <c r="W191" s="28"/>
      <c r="X191" s="124"/>
    </row>
    <row r="192" spans="1:24" s="162" customFormat="1" ht="21.95" hidden="1" customHeight="1">
      <c r="A192" s="110" t="s">
        <v>81</v>
      </c>
      <c r="B192" s="110" t="s">
        <v>82</v>
      </c>
      <c r="C192" s="110" t="str">
        <f t="shared" si="26"/>
        <v>관로구방수장치Φ150</v>
      </c>
      <c r="D192" s="99" t="s">
        <v>444</v>
      </c>
      <c r="E192" s="475">
        <f t="shared" si="19"/>
        <v>25200</v>
      </c>
      <c r="F192" s="99"/>
      <c r="G192" s="475">
        <v>25200</v>
      </c>
      <c r="H192" s="26"/>
      <c r="I192" s="29"/>
      <c r="J192" s="24" t="s">
        <v>247</v>
      </c>
      <c r="K192" s="27">
        <v>51600</v>
      </c>
      <c r="L192" s="122"/>
      <c r="M192" s="475"/>
      <c r="N192" s="475"/>
      <c r="O192" s="23"/>
      <c r="P192" s="25"/>
      <c r="Q192" s="25"/>
      <c r="R192" s="25"/>
      <c r="S192" s="25"/>
      <c r="T192" s="25"/>
      <c r="U192" s="25"/>
      <c r="V192" s="25"/>
      <c r="W192" s="28"/>
      <c r="X192" s="124"/>
    </row>
    <row r="193" spans="1:24" s="162" customFormat="1" ht="21.95" hidden="1" customHeight="1">
      <c r="A193" s="110" t="s">
        <v>655</v>
      </c>
      <c r="B193" s="110" t="s">
        <v>656</v>
      </c>
      <c r="C193" s="110" t="str">
        <f>A193&amp;B193</f>
        <v>저압직선접속재방수레진 6SQ</v>
      </c>
      <c r="D193" s="99" t="s">
        <v>595</v>
      </c>
      <c r="E193" s="475">
        <f t="shared" si="19"/>
        <v>40000</v>
      </c>
      <c r="F193" s="99"/>
      <c r="G193" s="475"/>
      <c r="H193" s="26">
        <v>1105</v>
      </c>
      <c r="I193" s="29">
        <v>40000</v>
      </c>
      <c r="J193" s="24"/>
      <c r="K193" s="27"/>
      <c r="L193" s="122"/>
      <c r="M193" s="475"/>
      <c r="N193" s="475"/>
      <c r="O193" s="23"/>
      <c r="P193" s="25"/>
      <c r="Q193" s="25"/>
      <c r="R193" s="25"/>
      <c r="S193" s="25"/>
      <c r="T193" s="25"/>
      <c r="U193" s="25"/>
      <c r="V193" s="25"/>
      <c r="W193" s="28"/>
      <c r="X193" s="124"/>
    </row>
    <row r="194" spans="1:24" s="162" customFormat="1" ht="21.95" hidden="1" customHeight="1">
      <c r="A194" s="110" t="s">
        <v>655</v>
      </c>
      <c r="B194" s="110" t="s">
        <v>657</v>
      </c>
      <c r="C194" s="110" t="str">
        <f>A194&amp;B194</f>
        <v>저압직선접속재방수레진 10SQ</v>
      </c>
      <c r="D194" s="99" t="s">
        <v>595</v>
      </c>
      <c r="E194" s="475">
        <f t="shared" si="19"/>
        <v>40000</v>
      </c>
      <c r="F194" s="99"/>
      <c r="G194" s="475"/>
      <c r="H194" s="26">
        <v>1105</v>
      </c>
      <c r="I194" s="29">
        <v>40000</v>
      </c>
      <c r="J194" s="24"/>
      <c r="K194" s="27"/>
      <c r="L194" s="122"/>
      <c r="M194" s="475"/>
      <c r="N194" s="475"/>
      <c r="O194" s="23"/>
      <c r="P194" s="25"/>
      <c r="Q194" s="25"/>
      <c r="R194" s="25"/>
      <c r="S194" s="25"/>
      <c r="T194" s="25"/>
      <c r="U194" s="25"/>
      <c r="V194" s="25"/>
      <c r="W194" s="28"/>
      <c r="X194" s="124"/>
    </row>
    <row r="195" spans="1:24" s="162" customFormat="1" ht="21.95" hidden="1" customHeight="1">
      <c r="A195" s="110" t="s">
        <v>655</v>
      </c>
      <c r="B195" s="110" t="s">
        <v>658</v>
      </c>
      <c r="C195" s="110" t="str">
        <f>A195&amp;B195</f>
        <v>저압직선접속재방수레진 16SQ</v>
      </c>
      <c r="D195" s="99" t="s">
        <v>595</v>
      </c>
      <c r="E195" s="475">
        <f t="shared" si="19"/>
        <v>40000</v>
      </c>
      <c r="F195" s="99"/>
      <c r="G195" s="475"/>
      <c r="H195" s="26">
        <v>1105</v>
      </c>
      <c r="I195" s="29">
        <v>40000</v>
      </c>
      <c r="J195" s="24"/>
      <c r="K195" s="27"/>
      <c r="L195" s="122"/>
      <c r="M195" s="475"/>
      <c r="N195" s="475"/>
      <c r="O195" s="23"/>
      <c r="P195" s="25"/>
      <c r="Q195" s="25"/>
      <c r="R195" s="25"/>
      <c r="S195" s="25"/>
      <c r="T195" s="25"/>
      <c r="U195" s="25"/>
      <c r="V195" s="25"/>
      <c r="W195" s="28"/>
      <c r="X195" s="124"/>
    </row>
    <row r="196" spans="1:24" s="162" customFormat="1" ht="21.95" hidden="1" customHeight="1">
      <c r="A196" s="110" t="s">
        <v>655</v>
      </c>
      <c r="B196" s="110" t="s">
        <v>659</v>
      </c>
      <c r="C196" s="110" t="str">
        <f>A196&amp;B196</f>
        <v>저압직선접속재방수레진 25SQ</v>
      </c>
      <c r="D196" s="99" t="s">
        <v>595</v>
      </c>
      <c r="E196" s="475">
        <f t="shared" si="19"/>
        <v>40000</v>
      </c>
      <c r="F196" s="99"/>
      <c r="G196" s="475"/>
      <c r="H196" s="26">
        <v>1105</v>
      </c>
      <c r="I196" s="29">
        <v>40000</v>
      </c>
      <c r="J196" s="24"/>
      <c r="K196" s="27"/>
      <c r="L196" s="122"/>
      <c r="M196" s="475"/>
      <c r="N196" s="475"/>
      <c r="O196" s="23"/>
      <c r="P196" s="25"/>
      <c r="Q196" s="25"/>
      <c r="R196" s="25"/>
      <c r="S196" s="25"/>
      <c r="T196" s="25"/>
      <c r="U196" s="25"/>
      <c r="V196" s="25"/>
      <c r="W196" s="28"/>
      <c r="X196" s="124"/>
    </row>
    <row r="197" spans="1:24" s="162" customFormat="1" ht="21.95" hidden="1" customHeight="1">
      <c r="A197" s="110" t="s">
        <v>404</v>
      </c>
      <c r="B197" s="110" t="s">
        <v>405</v>
      </c>
      <c r="C197" s="110" t="str">
        <f t="shared" si="26"/>
        <v>케이블표시시트200x250</v>
      </c>
      <c r="D197" s="99" t="s">
        <v>407</v>
      </c>
      <c r="E197" s="475">
        <f>MIN(G197,I197,K197,L197,M197)</f>
        <v>180</v>
      </c>
      <c r="F197" s="99"/>
      <c r="G197" s="475"/>
      <c r="H197" s="23">
        <v>755</v>
      </c>
      <c r="I197" s="475">
        <v>180</v>
      </c>
      <c r="J197" s="389"/>
      <c r="K197" s="390"/>
      <c r="L197" s="122">
        <v>250</v>
      </c>
      <c r="M197" s="475"/>
      <c r="N197" s="475"/>
      <c r="O197" s="23"/>
      <c r="P197" s="25"/>
      <c r="Q197" s="25"/>
      <c r="R197" s="25"/>
      <c r="S197" s="25"/>
      <c r="T197" s="25"/>
      <c r="U197" s="25"/>
      <c r="V197" s="25"/>
      <c r="W197" s="28"/>
      <c r="X197" s="124" t="s">
        <v>505</v>
      </c>
    </row>
    <row r="198" spans="1:24" s="162" customFormat="1" ht="21.95" hidden="1" customHeight="1">
      <c r="A198" s="110"/>
      <c r="B198" s="110"/>
      <c r="C198" s="110"/>
      <c r="D198" s="99"/>
      <c r="E198" s="475"/>
      <c r="F198" s="99"/>
      <c r="G198" s="475"/>
      <c r="H198" s="23"/>
      <c r="I198" s="475"/>
      <c r="J198" s="389"/>
      <c r="K198" s="390"/>
      <c r="L198" s="122"/>
      <c r="M198" s="475"/>
      <c r="N198" s="475"/>
      <c r="O198" s="23"/>
      <c r="P198" s="25"/>
      <c r="Q198" s="25"/>
      <c r="R198" s="25"/>
      <c r="S198" s="25"/>
      <c r="T198" s="25"/>
      <c r="U198" s="25"/>
      <c r="V198" s="25"/>
      <c r="W198" s="28"/>
      <c r="X198" s="124"/>
    </row>
    <row r="199" spans="1:24" s="162" customFormat="1" ht="21.95" hidden="1" customHeight="1">
      <c r="A199" s="110"/>
      <c r="B199" s="110"/>
      <c r="C199" s="110"/>
      <c r="D199" s="99"/>
      <c r="E199" s="475"/>
      <c r="F199" s="99"/>
      <c r="G199" s="475"/>
      <c r="H199" s="23"/>
      <c r="I199" s="475"/>
      <c r="J199" s="389"/>
      <c r="K199" s="390"/>
      <c r="L199" s="122"/>
      <c r="M199" s="475"/>
      <c r="N199" s="475"/>
      <c r="O199" s="23"/>
      <c r="P199" s="25"/>
      <c r="Q199" s="25"/>
      <c r="R199" s="25"/>
      <c r="S199" s="25"/>
      <c r="T199" s="25"/>
      <c r="U199" s="25"/>
      <c r="V199" s="25"/>
      <c r="W199" s="28"/>
      <c r="X199" s="124"/>
    </row>
    <row r="200" spans="1:24" s="162" customFormat="1" ht="21.95" hidden="1" customHeight="1">
      <c r="A200" s="110"/>
      <c r="B200" s="110"/>
      <c r="C200" s="110"/>
      <c r="D200" s="99"/>
      <c r="E200" s="475"/>
      <c r="F200" s="99"/>
      <c r="G200" s="475"/>
      <c r="H200" s="23"/>
      <c r="I200" s="475"/>
      <c r="J200" s="389"/>
      <c r="K200" s="390"/>
      <c r="L200" s="122"/>
      <c r="M200" s="475"/>
      <c r="N200" s="475"/>
      <c r="O200" s="23"/>
      <c r="P200" s="25"/>
      <c r="Q200" s="25"/>
      <c r="R200" s="25"/>
      <c r="S200" s="25"/>
      <c r="T200" s="25"/>
      <c r="U200" s="25"/>
      <c r="V200" s="25"/>
      <c r="W200" s="28"/>
      <c r="X200" s="124"/>
    </row>
    <row r="201" spans="1:24" s="162" customFormat="1" ht="21.95" customHeight="1">
      <c r="A201" s="110" t="s">
        <v>510</v>
      </c>
      <c r="B201" s="110" t="s">
        <v>937</v>
      </c>
      <c r="C201" s="110" t="str">
        <f t="shared" si="26"/>
        <v>MCCB (표준형)2P 50AF 40AT</v>
      </c>
      <c r="D201" s="99" t="s">
        <v>419</v>
      </c>
      <c r="E201" s="475">
        <f t="shared" si="19"/>
        <v>72300</v>
      </c>
      <c r="F201" s="99"/>
      <c r="G201" s="475"/>
      <c r="H201" s="23">
        <v>1163</v>
      </c>
      <c r="I201" s="475">
        <v>75000</v>
      </c>
      <c r="J201" s="24" t="s">
        <v>879</v>
      </c>
      <c r="K201" s="27">
        <v>72300</v>
      </c>
      <c r="L201" s="122"/>
      <c r="M201" s="475"/>
      <c r="N201" s="475"/>
      <c r="O201" s="23"/>
      <c r="P201" s="25"/>
      <c r="Q201" s="25"/>
      <c r="R201" s="25"/>
      <c r="S201" s="25"/>
      <c r="T201" s="25"/>
      <c r="U201" s="25"/>
      <c r="V201" s="25"/>
      <c r="W201" s="28"/>
      <c r="X201" s="124"/>
    </row>
    <row r="202" spans="1:24" s="162" customFormat="1" ht="21.95" hidden="1" customHeight="1">
      <c r="A202" s="110" t="s">
        <v>510</v>
      </c>
      <c r="B202" s="110" t="s">
        <v>881</v>
      </c>
      <c r="C202" s="110" t="str">
        <f t="shared" si="26"/>
        <v>MCCB (표준형)4P 250AF 250AT</v>
      </c>
      <c r="D202" s="99" t="s">
        <v>419</v>
      </c>
      <c r="E202" s="475">
        <f t="shared" si="19"/>
        <v>253800</v>
      </c>
      <c r="F202" s="99"/>
      <c r="G202" s="475"/>
      <c r="H202" s="23">
        <v>1162</v>
      </c>
      <c r="I202" s="27">
        <v>253800</v>
      </c>
      <c r="J202" s="24" t="s">
        <v>986</v>
      </c>
      <c r="K202" s="27">
        <v>253800</v>
      </c>
      <c r="L202" s="122"/>
      <c r="M202" s="475"/>
      <c r="N202" s="475"/>
      <c r="O202" s="23"/>
      <c r="P202" s="25"/>
      <c r="Q202" s="25"/>
      <c r="R202" s="25"/>
      <c r="S202" s="25"/>
      <c r="T202" s="25"/>
      <c r="U202" s="25"/>
      <c r="V202" s="25"/>
      <c r="W202" s="28"/>
      <c r="X202" s="124" t="s">
        <v>504</v>
      </c>
    </row>
    <row r="203" spans="1:24" s="162" customFormat="1" ht="21.95" hidden="1" customHeight="1">
      <c r="A203" s="110" t="s">
        <v>510</v>
      </c>
      <c r="B203" s="110" t="s">
        <v>990</v>
      </c>
      <c r="C203" s="110" t="str">
        <f>A203&amp;B203</f>
        <v>MCCB (표준형)4P 250AF 225AT</v>
      </c>
      <c r="D203" s="99" t="s">
        <v>419</v>
      </c>
      <c r="E203" s="475">
        <f>MIN(G203,I203,K203,L203,M203)</f>
        <v>253800</v>
      </c>
      <c r="F203" s="99"/>
      <c r="G203" s="475"/>
      <c r="H203" s="23">
        <v>1162</v>
      </c>
      <c r="I203" s="27">
        <v>253800</v>
      </c>
      <c r="J203" s="24" t="s">
        <v>602</v>
      </c>
      <c r="K203" s="27">
        <v>253800</v>
      </c>
      <c r="L203" s="122"/>
      <c r="M203" s="475"/>
      <c r="N203" s="475"/>
      <c r="O203" s="23"/>
      <c r="P203" s="25"/>
      <c r="Q203" s="25"/>
      <c r="R203" s="25"/>
      <c r="S203" s="25"/>
      <c r="T203" s="25"/>
      <c r="U203" s="25"/>
      <c r="V203" s="25"/>
      <c r="W203" s="28"/>
      <c r="X203" s="124" t="s">
        <v>504</v>
      </c>
    </row>
    <row r="204" spans="1:24" s="162" customFormat="1" ht="21.95" hidden="1" customHeight="1">
      <c r="A204" s="110" t="s">
        <v>510</v>
      </c>
      <c r="B204" s="110" t="s">
        <v>1124</v>
      </c>
      <c r="C204" s="110" t="str">
        <f>A204&amp;B204</f>
        <v>MCCB (표준형)4P 250AF 200AT</v>
      </c>
      <c r="D204" s="99" t="s">
        <v>419</v>
      </c>
      <c r="E204" s="475">
        <f>MIN(G204,I204,K204,L204,M204)</f>
        <v>253800</v>
      </c>
      <c r="F204" s="99"/>
      <c r="G204" s="475"/>
      <c r="H204" s="23">
        <v>1162</v>
      </c>
      <c r="I204" s="27">
        <v>253800</v>
      </c>
      <c r="J204" s="24" t="s">
        <v>1143</v>
      </c>
      <c r="K204" s="27">
        <v>253800</v>
      </c>
      <c r="L204" s="122"/>
      <c r="M204" s="475"/>
      <c r="N204" s="475"/>
      <c r="O204" s="23"/>
      <c r="P204" s="25"/>
      <c r="Q204" s="25"/>
      <c r="R204" s="25"/>
      <c r="S204" s="25"/>
      <c r="T204" s="25"/>
      <c r="U204" s="25"/>
      <c r="V204" s="25"/>
      <c r="W204" s="28"/>
      <c r="X204" s="124" t="s">
        <v>504</v>
      </c>
    </row>
    <row r="205" spans="1:24" s="162" customFormat="1" ht="21.95" hidden="1" customHeight="1">
      <c r="A205" s="110" t="s">
        <v>510</v>
      </c>
      <c r="B205" s="110" t="s">
        <v>164</v>
      </c>
      <c r="C205" s="110" t="str">
        <f t="shared" si="26"/>
        <v>MCCB (표준형)4P 250AF 175AT</v>
      </c>
      <c r="D205" s="99" t="s">
        <v>419</v>
      </c>
      <c r="E205" s="475">
        <f t="shared" si="19"/>
        <v>253800</v>
      </c>
      <c r="F205" s="99"/>
      <c r="G205" s="475"/>
      <c r="H205" s="23">
        <v>1158</v>
      </c>
      <c r="I205" s="27">
        <v>253800</v>
      </c>
      <c r="J205" s="24" t="s">
        <v>765</v>
      </c>
      <c r="K205" s="27">
        <v>253800</v>
      </c>
      <c r="L205" s="122"/>
      <c r="M205" s="475"/>
      <c r="N205" s="475"/>
      <c r="O205" s="23"/>
      <c r="P205" s="25"/>
      <c r="Q205" s="25"/>
      <c r="R205" s="25"/>
      <c r="S205" s="25"/>
      <c r="T205" s="25"/>
      <c r="U205" s="25"/>
      <c r="V205" s="25"/>
      <c r="W205" s="28"/>
      <c r="X205" s="124" t="s">
        <v>504</v>
      </c>
    </row>
    <row r="206" spans="1:24" s="162" customFormat="1" ht="21.95" hidden="1" customHeight="1">
      <c r="A206" s="110" t="s">
        <v>510</v>
      </c>
      <c r="B206" s="110" t="s">
        <v>278</v>
      </c>
      <c r="C206" s="110" t="str">
        <f t="shared" si="26"/>
        <v>MCCB (표준형)4P 250AF 150AT</v>
      </c>
      <c r="D206" s="99" t="s">
        <v>419</v>
      </c>
      <c r="E206" s="475">
        <f t="shared" si="19"/>
        <v>253800</v>
      </c>
      <c r="F206" s="99"/>
      <c r="G206" s="475"/>
      <c r="H206" s="23">
        <v>1162</v>
      </c>
      <c r="I206" s="27">
        <v>253800</v>
      </c>
      <c r="J206" s="24" t="s">
        <v>956</v>
      </c>
      <c r="K206" s="27">
        <v>253800</v>
      </c>
      <c r="L206" s="122"/>
      <c r="M206" s="475"/>
      <c r="N206" s="475"/>
      <c r="O206" s="23"/>
      <c r="P206" s="25"/>
      <c r="Q206" s="25"/>
      <c r="R206" s="25"/>
      <c r="S206" s="25"/>
      <c r="T206" s="25"/>
      <c r="U206" s="25"/>
      <c r="V206" s="25"/>
      <c r="W206" s="28"/>
      <c r="X206" s="124" t="s">
        <v>504</v>
      </c>
    </row>
    <row r="207" spans="1:24" s="162" customFormat="1" ht="21.95" hidden="1" customHeight="1">
      <c r="A207" s="110" t="s">
        <v>510</v>
      </c>
      <c r="B207" s="110" t="s">
        <v>297</v>
      </c>
      <c r="C207" s="110" t="str">
        <f t="shared" si="26"/>
        <v>MCCB (표준형)4P 250AF 125AT</v>
      </c>
      <c r="D207" s="99" t="s">
        <v>419</v>
      </c>
      <c r="E207" s="475">
        <f t="shared" si="19"/>
        <v>253800</v>
      </c>
      <c r="F207" s="99"/>
      <c r="G207" s="475"/>
      <c r="H207" s="23">
        <v>1163</v>
      </c>
      <c r="I207" s="27">
        <v>253800</v>
      </c>
      <c r="J207" s="24" t="s">
        <v>765</v>
      </c>
      <c r="K207" s="27">
        <v>253800</v>
      </c>
      <c r="L207" s="122"/>
      <c r="M207" s="475"/>
      <c r="N207" s="475"/>
      <c r="O207" s="23"/>
      <c r="P207" s="25"/>
      <c r="Q207" s="25"/>
      <c r="R207" s="25"/>
      <c r="S207" s="25"/>
      <c r="T207" s="25"/>
      <c r="U207" s="25"/>
      <c r="V207" s="25"/>
      <c r="W207" s="28"/>
      <c r="X207" s="124" t="s">
        <v>504</v>
      </c>
    </row>
    <row r="208" spans="1:24" s="162" customFormat="1" ht="21.95" hidden="1" customHeight="1">
      <c r="A208" s="110" t="s">
        <v>510</v>
      </c>
      <c r="B208" s="110" t="s">
        <v>962</v>
      </c>
      <c r="C208" s="110" t="str">
        <f t="shared" si="26"/>
        <v>MCCB (표준형)4P 125AF 100AT</v>
      </c>
      <c r="D208" s="99" t="s">
        <v>419</v>
      </c>
      <c r="E208" s="475">
        <f t="shared" si="19"/>
        <v>111900</v>
      </c>
      <c r="F208" s="99"/>
      <c r="G208" s="475"/>
      <c r="H208" s="23">
        <v>1162</v>
      </c>
      <c r="I208" s="27">
        <v>111900</v>
      </c>
      <c r="J208" s="24" t="s">
        <v>965</v>
      </c>
      <c r="K208" s="27">
        <v>111900</v>
      </c>
      <c r="L208" s="122"/>
      <c r="M208" s="475"/>
      <c r="N208" s="475"/>
      <c r="O208" s="23"/>
      <c r="P208" s="25"/>
      <c r="Q208" s="25"/>
      <c r="R208" s="25"/>
      <c r="S208" s="25"/>
      <c r="T208" s="25"/>
      <c r="U208" s="25"/>
      <c r="V208" s="25"/>
      <c r="W208" s="28"/>
      <c r="X208" s="124"/>
    </row>
    <row r="209" spans="1:24" s="162" customFormat="1" ht="21.95" hidden="1" customHeight="1">
      <c r="A209" s="110" t="s">
        <v>510</v>
      </c>
      <c r="B209" s="110" t="s">
        <v>1394</v>
      </c>
      <c r="C209" s="110" t="str">
        <f t="shared" si="26"/>
        <v>MCCB (표준형)4P 125AF 75AT</v>
      </c>
      <c r="D209" s="99" t="s">
        <v>419</v>
      </c>
      <c r="E209" s="475">
        <f t="shared" si="19"/>
        <v>111900</v>
      </c>
      <c r="F209" s="99"/>
      <c r="G209" s="475"/>
      <c r="H209" s="23">
        <v>1163</v>
      </c>
      <c r="I209" s="27">
        <v>111900</v>
      </c>
      <c r="J209" s="24" t="s">
        <v>86</v>
      </c>
      <c r="K209" s="27">
        <v>111900</v>
      </c>
      <c r="L209" s="122"/>
      <c r="M209" s="475"/>
      <c r="N209" s="475"/>
      <c r="O209" s="23"/>
      <c r="P209" s="25"/>
      <c r="Q209" s="25"/>
      <c r="R209" s="25"/>
      <c r="S209" s="25"/>
      <c r="T209" s="25"/>
      <c r="U209" s="25"/>
      <c r="V209" s="25"/>
      <c r="W209" s="28"/>
      <c r="X209" s="124"/>
    </row>
    <row r="210" spans="1:24" s="162" customFormat="1" ht="21.95" hidden="1" customHeight="1">
      <c r="A210" s="110" t="s">
        <v>510</v>
      </c>
      <c r="B210" s="110" t="s">
        <v>764</v>
      </c>
      <c r="C210" s="110" t="str">
        <f t="shared" si="26"/>
        <v>MCCB (표준형)4P 60AF 60AT</v>
      </c>
      <c r="D210" s="99" t="s">
        <v>419</v>
      </c>
      <c r="E210" s="475">
        <f>MIN(G210,I210,K210,L210,M210)</f>
        <v>63200</v>
      </c>
      <c r="F210" s="99"/>
      <c r="G210" s="475"/>
      <c r="H210" s="23">
        <v>1163</v>
      </c>
      <c r="I210" s="27">
        <v>63200</v>
      </c>
      <c r="J210" s="24" t="s">
        <v>86</v>
      </c>
      <c r="K210" s="27">
        <v>63200</v>
      </c>
      <c r="L210" s="122"/>
      <c r="M210" s="475"/>
      <c r="N210" s="475"/>
      <c r="O210" s="23"/>
      <c r="P210" s="25"/>
      <c r="Q210" s="25"/>
      <c r="R210" s="25"/>
      <c r="S210" s="25"/>
      <c r="T210" s="25"/>
      <c r="U210" s="25"/>
      <c r="V210" s="25"/>
      <c r="W210" s="28"/>
      <c r="X210" s="124" t="s">
        <v>504</v>
      </c>
    </row>
    <row r="211" spans="1:24" s="162" customFormat="1" ht="21.95" hidden="1" customHeight="1">
      <c r="A211" s="110" t="s">
        <v>510</v>
      </c>
      <c r="B211" s="110" t="s">
        <v>163</v>
      </c>
      <c r="C211" s="110" t="str">
        <f t="shared" si="26"/>
        <v>MCCB (표준형)4P 50AF 50AT</v>
      </c>
      <c r="D211" s="99" t="s">
        <v>419</v>
      </c>
      <c r="E211" s="475">
        <f t="shared" si="19"/>
        <v>60100</v>
      </c>
      <c r="F211" s="99"/>
      <c r="G211" s="475"/>
      <c r="H211" s="23">
        <v>1162</v>
      </c>
      <c r="I211" s="27">
        <v>60100</v>
      </c>
      <c r="J211" s="24" t="s">
        <v>602</v>
      </c>
      <c r="K211" s="27">
        <v>60100</v>
      </c>
      <c r="L211" s="122"/>
      <c r="M211" s="475"/>
      <c r="N211" s="475"/>
      <c r="O211" s="23"/>
      <c r="P211" s="25"/>
      <c r="Q211" s="25"/>
      <c r="R211" s="25"/>
      <c r="S211" s="25"/>
      <c r="T211" s="25"/>
      <c r="U211" s="25"/>
      <c r="V211" s="25"/>
      <c r="W211" s="28"/>
      <c r="X211" s="124" t="s">
        <v>504</v>
      </c>
    </row>
    <row r="212" spans="1:24" s="162" customFormat="1" ht="21.95" hidden="1" customHeight="1">
      <c r="A212" s="110" t="s">
        <v>510</v>
      </c>
      <c r="B212" s="110" t="s">
        <v>526</v>
      </c>
      <c r="C212" s="110" t="str">
        <f t="shared" si="26"/>
        <v>MCCB (표준형)4P 50AF 40AT</v>
      </c>
      <c r="D212" s="99" t="s">
        <v>419</v>
      </c>
      <c r="E212" s="475">
        <f t="shared" si="19"/>
        <v>60100</v>
      </c>
      <c r="F212" s="99"/>
      <c r="G212" s="475"/>
      <c r="H212" s="23">
        <v>1163</v>
      </c>
      <c r="I212" s="27">
        <v>60100</v>
      </c>
      <c r="J212" s="24" t="s">
        <v>86</v>
      </c>
      <c r="K212" s="27">
        <v>60100</v>
      </c>
      <c r="L212" s="122"/>
      <c r="M212" s="475"/>
      <c r="N212" s="475"/>
      <c r="O212" s="23"/>
      <c r="P212" s="25"/>
      <c r="Q212" s="25"/>
      <c r="R212" s="25"/>
      <c r="S212" s="25"/>
      <c r="T212" s="25"/>
      <c r="U212" s="25"/>
      <c r="V212" s="25"/>
      <c r="W212" s="28"/>
      <c r="X212" s="124" t="s">
        <v>504</v>
      </c>
    </row>
    <row r="213" spans="1:24" s="162" customFormat="1" ht="21.95" hidden="1" customHeight="1">
      <c r="A213" s="110" t="s">
        <v>510</v>
      </c>
      <c r="B213" s="110" t="s">
        <v>449</v>
      </c>
      <c r="C213" s="110" t="str">
        <f t="shared" si="26"/>
        <v>MCCB (표준형)4P 50AF 30AT</v>
      </c>
      <c r="D213" s="99" t="s">
        <v>419</v>
      </c>
      <c r="E213" s="475">
        <f t="shared" si="19"/>
        <v>60100</v>
      </c>
      <c r="F213" s="99"/>
      <c r="G213" s="475"/>
      <c r="H213" s="23">
        <v>1163</v>
      </c>
      <c r="I213" s="27">
        <v>60100</v>
      </c>
      <c r="J213" s="24" t="s">
        <v>86</v>
      </c>
      <c r="K213" s="27">
        <v>60100</v>
      </c>
      <c r="L213" s="122"/>
      <c r="M213" s="475"/>
      <c r="N213" s="475"/>
      <c r="O213" s="23"/>
      <c r="P213" s="25"/>
      <c r="Q213" s="25"/>
      <c r="R213" s="25"/>
      <c r="S213" s="25"/>
      <c r="T213" s="25"/>
      <c r="U213" s="25"/>
      <c r="V213" s="25"/>
      <c r="W213" s="28"/>
      <c r="X213" s="124" t="s">
        <v>504</v>
      </c>
    </row>
    <row r="214" spans="1:24" s="162" customFormat="1" ht="21.95" hidden="1" customHeight="1">
      <c r="A214" s="110" t="s">
        <v>510</v>
      </c>
      <c r="B214" s="110" t="s">
        <v>165</v>
      </c>
      <c r="C214" s="110" t="str">
        <f t="shared" si="26"/>
        <v>MCCB (표준형)4P 50AF 20AT</v>
      </c>
      <c r="D214" s="99" t="s">
        <v>419</v>
      </c>
      <c r="E214" s="475">
        <f t="shared" si="19"/>
        <v>60100</v>
      </c>
      <c r="F214" s="99"/>
      <c r="G214" s="475"/>
      <c r="H214" s="23">
        <v>1163</v>
      </c>
      <c r="I214" s="27">
        <v>60100</v>
      </c>
      <c r="J214" s="24" t="s">
        <v>86</v>
      </c>
      <c r="K214" s="27">
        <v>60100</v>
      </c>
      <c r="L214" s="122"/>
      <c r="M214" s="475"/>
      <c r="N214" s="475"/>
      <c r="O214" s="23"/>
      <c r="P214" s="25"/>
      <c r="Q214" s="25"/>
      <c r="R214" s="25"/>
      <c r="S214" s="25"/>
      <c r="T214" s="25"/>
      <c r="U214" s="25"/>
      <c r="V214" s="25"/>
      <c r="W214" s="28"/>
      <c r="X214" s="124" t="s">
        <v>504</v>
      </c>
    </row>
    <row r="215" spans="1:24" s="162" customFormat="1" ht="21.95" hidden="1" customHeight="1">
      <c r="A215" s="73" t="s">
        <v>510</v>
      </c>
      <c r="B215" s="274" t="s">
        <v>927</v>
      </c>
      <c r="C215" s="110" t="str">
        <f t="shared" si="26"/>
        <v>MCCB (표준형)3P 50AF 30AT</v>
      </c>
      <c r="D215" s="99" t="s">
        <v>419</v>
      </c>
      <c r="E215" s="475">
        <f t="shared" si="19"/>
        <v>48100</v>
      </c>
      <c r="F215" s="99"/>
      <c r="G215" s="475"/>
      <c r="H215" s="23">
        <v>1163</v>
      </c>
      <c r="I215" s="27">
        <v>48100</v>
      </c>
      <c r="J215" s="24" t="s">
        <v>86</v>
      </c>
      <c r="K215" s="27">
        <v>48100</v>
      </c>
      <c r="L215" s="122"/>
      <c r="M215" s="475"/>
      <c r="N215" s="475"/>
      <c r="O215" s="23"/>
      <c r="P215" s="25"/>
      <c r="Q215" s="25"/>
      <c r="R215" s="25"/>
      <c r="S215" s="25"/>
      <c r="T215" s="25"/>
      <c r="U215" s="25"/>
      <c r="V215" s="25"/>
      <c r="W215" s="28"/>
      <c r="X215" s="124"/>
    </row>
    <row r="216" spans="1:24" s="162" customFormat="1" ht="21.95" hidden="1" customHeight="1">
      <c r="A216" s="73" t="s">
        <v>510</v>
      </c>
      <c r="B216" s="274" t="s">
        <v>527</v>
      </c>
      <c r="C216" s="110" t="str">
        <f t="shared" ref="C216:C230" si="29">A216&amp;B216</f>
        <v>MCCB (표준형)3P 100AF 75AT</v>
      </c>
      <c r="D216" s="99" t="s">
        <v>419</v>
      </c>
      <c r="E216" s="475">
        <f t="shared" si="19"/>
        <v>90300</v>
      </c>
      <c r="F216" s="99"/>
      <c r="G216" s="475"/>
      <c r="H216" s="23">
        <v>1163</v>
      </c>
      <c r="I216" s="27">
        <v>90300</v>
      </c>
      <c r="J216" s="24" t="s">
        <v>86</v>
      </c>
      <c r="K216" s="27">
        <v>90300</v>
      </c>
      <c r="L216" s="122"/>
      <c r="M216" s="475"/>
      <c r="N216" s="475"/>
      <c r="O216" s="23"/>
      <c r="P216" s="25"/>
      <c r="Q216" s="25"/>
      <c r="R216" s="25"/>
      <c r="S216" s="25"/>
      <c r="T216" s="25"/>
      <c r="U216" s="25"/>
      <c r="V216" s="25"/>
      <c r="W216" s="28"/>
      <c r="X216" s="124"/>
    </row>
    <row r="217" spans="1:24" s="162" customFormat="1" ht="21.95" hidden="1" customHeight="1">
      <c r="A217" s="73" t="s">
        <v>296</v>
      </c>
      <c r="B217" s="274" t="s">
        <v>450</v>
      </c>
      <c r="C217" s="110" t="str">
        <f t="shared" si="29"/>
        <v>MCCB (분전반형)2P 50AF 30AT</v>
      </c>
      <c r="D217" s="99" t="s">
        <v>419</v>
      </c>
      <c r="E217" s="475">
        <f t="shared" si="19"/>
        <v>9300</v>
      </c>
      <c r="F217" s="99"/>
      <c r="G217" s="475"/>
      <c r="H217" s="23">
        <v>1164</v>
      </c>
      <c r="I217" s="27">
        <v>9300</v>
      </c>
      <c r="J217" s="24" t="s">
        <v>941</v>
      </c>
      <c r="K217" s="27">
        <v>9300</v>
      </c>
      <c r="L217" s="122"/>
      <c r="M217" s="475"/>
      <c r="N217" s="475"/>
      <c r="O217" s="23"/>
      <c r="P217" s="25"/>
      <c r="Q217" s="25"/>
      <c r="R217" s="25"/>
      <c r="S217" s="25"/>
      <c r="T217" s="25"/>
      <c r="U217" s="25"/>
      <c r="V217" s="25"/>
      <c r="W217" s="28"/>
      <c r="X217" s="124"/>
    </row>
    <row r="218" spans="1:24" s="162" customFormat="1" ht="21.95" hidden="1" customHeight="1">
      <c r="A218" s="73" t="s">
        <v>296</v>
      </c>
      <c r="B218" s="274" t="s">
        <v>166</v>
      </c>
      <c r="C218" s="110" t="str">
        <f>A218&amp;B218</f>
        <v>MCCB (분전반형)2P 50AF 20AT</v>
      </c>
      <c r="D218" s="99" t="s">
        <v>419</v>
      </c>
      <c r="E218" s="475">
        <f t="shared" si="19"/>
        <v>9300</v>
      </c>
      <c r="F218" s="99"/>
      <c r="G218" s="475"/>
      <c r="H218" s="23">
        <v>1164</v>
      </c>
      <c r="I218" s="27">
        <v>9300</v>
      </c>
      <c r="J218" s="24" t="s">
        <v>941</v>
      </c>
      <c r="K218" s="27">
        <v>9300</v>
      </c>
      <c r="L218" s="122"/>
      <c r="M218" s="475"/>
      <c r="N218" s="475"/>
      <c r="O218" s="23"/>
      <c r="P218" s="25"/>
      <c r="Q218" s="25"/>
      <c r="R218" s="25"/>
      <c r="S218" s="25"/>
      <c r="T218" s="25"/>
      <c r="U218" s="25"/>
      <c r="V218" s="25"/>
      <c r="W218" s="28"/>
      <c r="X218" s="124"/>
    </row>
    <row r="219" spans="1:24" s="162" customFormat="1" ht="21.95" hidden="1" customHeight="1">
      <c r="A219" s="73" t="s">
        <v>296</v>
      </c>
      <c r="B219" s="274" t="s">
        <v>999</v>
      </c>
      <c r="C219" s="110" t="str">
        <f>A219&amp;B219</f>
        <v>MCCB (분전반형)2P 30AF 10AT</v>
      </c>
      <c r="D219" s="99" t="s">
        <v>419</v>
      </c>
      <c r="E219" s="475">
        <f t="shared" si="19"/>
        <v>10400</v>
      </c>
      <c r="F219" s="99"/>
      <c r="G219" s="475"/>
      <c r="H219" s="23">
        <v>1165</v>
      </c>
      <c r="I219" s="475">
        <v>10400</v>
      </c>
      <c r="J219" s="24">
        <v>1265</v>
      </c>
      <c r="K219" s="27">
        <v>10400</v>
      </c>
      <c r="L219" s="122"/>
      <c r="M219" s="475"/>
      <c r="N219" s="475"/>
      <c r="O219" s="23"/>
      <c r="P219" s="25"/>
      <c r="Q219" s="25"/>
      <c r="R219" s="25"/>
      <c r="S219" s="25"/>
      <c r="T219" s="25"/>
      <c r="U219" s="25"/>
      <c r="V219" s="25"/>
      <c r="W219" s="28"/>
      <c r="X219" s="124"/>
    </row>
    <row r="220" spans="1:24" s="162" customFormat="1" ht="21.95" hidden="1" customHeight="1">
      <c r="A220" s="110" t="s">
        <v>1395</v>
      </c>
      <c r="B220" s="110" t="s">
        <v>1414</v>
      </c>
      <c r="C220" s="110" t="str">
        <f t="shared" ref="C220:C222" si="30">A220&amp;B220</f>
        <v>MCCB (W/ZCT)4P 50AF 50AT</v>
      </c>
      <c r="D220" s="99" t="s">
        <v>419</v>
      </c>
      <c r="E220" s="475">
        <f t="shared" ref="E220:E222" si="31">MIN(G220,I220,K220,L220,M220)</f>
        <v>68400</v>
      </c>
      <c r="F220" s="99"/>
      <c r="G220" s="475"/>
      <c r="H220" s="23">
        <v>1164</v>
      </c>
      <c r="I220" s="475">
        <v>68400</v>
      </c>
      <c r="J220" s="24">
        <v>1266</v>
      </c>
      <c r="K220" s="475">
        <v>68400</v>
      </c>
      <c r="L220" s="122"/>
      <c r="M220" s="475"/>
      <c r="N220" s="475"/>
      <c r="O220" s="23"/>
      <c r="P220" s="25"/>
      <c r="Q220" s="25"/>
      <c r="R220" s="25"/>
      <c r="S220" s="25"/>
      <c r="T220" s="25"/>
      <c r="U220" s="25"/>
      <c r="V220" s="25"/>
      <c r="W220" s="28"/>
      <c r="X220" s="124"/>
    </row>
    <row r="221" spans="1:24" s="162" customFormat="1" ht="21.95" hidden="1" customHeight="1">
      <c r="A221" s="110" t="s">
        <v>1395</v>
      </c>
      <c r="B221" s="110" t="s">
        <v>1394</v>
      </c>
      <c r="C221" s="110" t="str">
        <f t="shared" si="30"/>
        <v>MCCB (W/ZCT)4P 125AF 75AT</v>
      </c>
      <c r="D221" s="99" t="s">
        <v>419</v>
      </c>
      <c r="E221" s="475">
        <f t="shared" si="31"/>
        <v>121000</v>
      </c>
      <c r="F221" s="99"/>
      <c r="G221" s="475"/>
      <c r="H221" s="23">
        <v>1164</v>
      </c>
      <c r="I221" s="475">
        <v>121000</v>
      </c>
      <c r="J221" s="24">
        <v>1266</v>
      </c>
      <c r="K221" s="475">
        <v>121000</v>
      </c>
      <c r="L221" s="122"/>
      <c r="M221" s="475"/>
      <c r="N221" s="475"/>
      <c r="O221" s="23"/>
      <c r="P221" s="25"/>
      <c r="Q221" s="25"/>
      <c r="R221" s="25"/>
      <c r="S221" s="25"/>
      <c r="T221" s="25"/>
      <c r="U221" s="25"/>
      <c r="V221" s="25"/>
      <c r="W221" s="28"/>
      <c r="X221" s="124"/>
    </row>
    <row r="222" spans="1:24" s="162" customFormat="1" ht="21.95" hidden="1" customHeight="1">
      <c r="A222" s="110" t="s">
        <v>1395</v>
      </c>
      <c r="B222" s="110" t="s">
        <v>1124</v>
      </c>
      <c r="C222" s="110" t="str">
        <f t="shared" si="30"/>
        <v>MCCB (W/ZCT)4P 250AF 200AT</v>
      </c>
      <c r="D222" s="99" t="s">
        <v>419</v>
      </c>
      <c r="E222" s="475">
        <f t="shared" si="31"/>
        <v>258500</v>
      </c>
      <c r="F222" s="99"/>
      <c r="G222" s="475"/>
      <c r="H222" s="23">
        <v>1164</v>
      </c>
      <c r="I222" s="475">
        <v>258500</v>
      </c>
      <c r="J222" s="24">
        <v>1266</v>
      </c>
      <c r="K222" s="475">
        <v>258500</v>
      </c>
      <c r="L222" s="122"/>
      <c r="M222" s="475"/>
      <c r="N222" s="475"/>
      <c r="O222" s="23"/>
      <c r="P222" s="25"/>
      <c r="Q222" s="25"/>
      <c r="R222" s="25"/>
      <c r="S222" s="25"/>
      <c r="T222" s="25"/>
      <c r="U222" s="25"/>
      <c r="V222" s="25"/>
      <c r="W222" s="28"/>
      <c r="X222" s="124"/>
    </row>
    <row r="223" spans="1:24" s="162" customFormat="1" ht="21.95" hidden="1" customHeight="1">
      <c r="A223" s="110" t="s">
        <v>339</v>
      </c>
      <c r="B223" s="110" t="s">
        <v>1024</v>
      </c>
      <c r="C223" s="110" t="str">
        <f t="shared" si="29"/>
        <v>ELB4P 125AF 125AT</v>
      </c>
      <c r="D223" s="99" t="s">
        <v>419</v>
      </c>
      <c r="E223" s="475">
        <f t="shared" si="19"/>
        <v>185100</v>
      </c>
      <c r="F223" s="99"/>
      <c r="G223" s="475"/>
      <c r="H223" s="23">
        <v>1155</v>
      </c>
      <c r="I223" s="475">
        <v>185100</v>
      </c>
      <c r="J223" s="24" t="s">
        <v>298</v>
      </c>
      <c r="K223" s="27">
        <v>185100</v>
      </c>
      <c r="L223" s="122"/>
      <c r="M223" s="475"/>
      <c r="N223" s="475"/>
      <c r="O223" s="23"/>
      <c r="P223" s="25"/>
      <c r="Q223" s="25"/>
      <c r="R223" s="25"/>
      <c r="S223" s="25"/>
      <c r="T223" s="25"/>
      <c r="U223" s="25"/>
      <c r="V223" s="25"/>
      <c r="W223" s="28"/>
      <c r="X223" s="124"/>
    </row>
    <row r="224" spans="1:24" s="162" customFormat="1" ht="21.95" hidden="1" customHeight="1">
      <c r="A224" s="110" t="s">
        <v>339</v>
      </c>
      <c r="B224" s="110" t="s">
        <v>447</v>
      </c>
      <c r="C224" s="110" t="str">
        <f t="shared" si="29"/>
        <v>ELB4P 100AF 75AT</v>
      </c>
      <c r="D224" s="99" t="s">
        <v>419</v>
      </c>
      <c r="E224" s="475">
        <f t="shared" si="19"/>
        <v>185100</v>
      </c>
      <c r="F224" s="99"/>
      <c r="G224" s="475"/>
      <c r="H224" s="23">
        <v>1155</v>
      </c>
      <c r="I224" s="475">
        <v>185100</v>
      </c>
      <c r="J224" s="24" t="s">
        <v>298</v>
      </c>
      <c r="K224" s="27">
        <v>185100</v>
      </c>
      <c r="L224" s="122"/>
      <c r="M224" s="475"/>
      <c r="N224" s="475"/>
      <c r="O224" s="23"/>
      <c r="P224" s="25"/>
      <c r="Q224" s="25"/>
      <c r="R224" s="25"/>
      <c r="S224" s="25"/>
      <c r="T224" s="25"/>
      <c r="U224" s="25"/>
      <c r="V224" s="25"/>
      <c r="W224" s="28"/>
      <c r="X224" s="124"/>
    </row>
    <row r="225" spans="1:24" s="162" customFormat="1" ht="21.95" hidden="1" customHeight="1">
      <c r="A225" s="110" t="s">
        <v>339</v>
      </c>
      <c r="B225" s="110" t="s">
        <v>1023</v>
      </c>
      <c r="C225" s="110" t="str">
        <f>A225&amp;B225</f>
        <v>ELB4P 125AF 60AT</v>
      </c>
      <c r="D225" s="99" t="s">
        <v>419</v>
      </c>
      <c r="E225" s="475">
        <f>MIN(G225,I225,K225,L225,M225)</f>
        <v>185100</v>
      </c>
      <c r="F225" s="99"/>
      <c r="G225" s="475"/>
      <c r="H225" s="23">
        <v>1155</v>
      </c>
      <c r="I225" s="475">
        <v>185100</v>
      </c>
      <c r="J225" s="24" t="s">
        <v>298</v>
      </c>
      <c r="K225" s="27">
        <v>185100</v>
      </c>
      <c r="L225" s="122"/>
      <c r="M225" s="475"/>
      <c r="N225" s="475"/>
      <c r="O225" s="23"/>
      <c r="P225" s="25"/>
      <c r="Q225" s="25"/>
      <c r="R225" s="25"/>
      <c r="S225" s="25"/>
      <c r="T225" s="25"/>
      <c r="U225" s="25"/>
      <c r="V225" s="25"/>
      <c r="W225" s="28"/>
      <c r="X225" s="124"/>
    </row>
    <row r="226" spans="1:24" s="162" customFormat="1" ht="21.95" hidden="1" customHeight="1">
      <c r="A226" s="110" t="s">
        <v>339</v>
      </c>
      <c r="B226" s="110" t="s">
        <v>448</v>
      </c>
      <c r="C226" s="110" t="str">
        <f t="shared" si="29"/>
        <v>ELB4P 50AF 50AT</v>
      </c>
      <c r="D226" s="99" t="s">
        <v>419</v>
      </c>
      <c r="E226" s="475">
        <f t="shared" si="19"/>
        <v>127700</v>
      </c>
      <c r="F226" s="99"/>
      <c r="G226" s="475"/>
      <c r="H226" s="23">
        <v>1160</v>
      </c>
      <c r="I226" s="27">
        <v>127700</v>
      </c>
      <c r="J226" s="24" t="s">
        <v>942</v>
      </c>
      <c r="K226" s="27">
        <v>127700</v>
      </c>
      <c r="L226" s="122"/>
      <c r="M226" s="475"/>
      <c r="N226" s="475"/>
      <c r="O226" s="23"/>
      <c r="P226" s="25"/>
      <c r="Q226" s="25"/>
      <c r="R226" s="25"/>
      <c r="S226" s="25"/>
      <c r="T226" s="25"/>
      <c r="U226" s="25"/>
      <c r="V226" s="25"/>
      <c r="W226" s="28"/>
      <c r="X226" s="124"/>
    </row>
    <row r="227" spans="1:24" s="162" customFormat="1" ht="21.95" hidden="1" customHeight="1">
      <c r="A227" s="110" t="s">
        <v>339</v>
      </c>
      <c r="B227" s="110" t="s">
        <v>280</v>
      </c>
      <c r="C227" s="110" t="str">
        <f>A227&amp;B227</f>
        <v>ELB4P 50AF 40AT</v>
      </c>
      <c r="D227" s="99" t="s">
        <v>419</v>
      </c>
      <c r="E227" s="475">
        <f t="shared" si="19"/>
        <v>122700</v>
      </c>
      <c r="F227" s="99"/>
      <c r="G227" s="475"/>
      <c r="H227" s="23">
        <v>1155</v>
      </c>
      <c r="I227" s="27">
        <v>122700</v>
      </c>
      <c r="J227" s="24" t="s">
        <v>298</v>
      </c>
      <c r="K227" s="27">
        <v>122700</v>
      </c>
      <c r="L227" s="122"/>
      <c r="M227" s="475"/>
      <c r="N227" s="475"/>
      <c r="O227" s="23"/>
      <c r="P227" s="25"/>
      <c r="Q227" s="25"/>
      <c r="R227" s="25"/>
      <c r="S227" s="25"/>
      <c r="T227" s="25"/>
      <c r="U227" s="25"/>
      <c r="V227" s="25"/>
      <c r="W227" s="28"/>
      <c r="X227" s="124"/>
    </row>
    <row r="228" spans="1:24" s="162" customFormat="1" ht="21.95" hidden="1" customHeight="1">
      <c r="A228" s="110" t="s">
        <v>339</v>
      </c>
      <c r="B228" s="110" t="s">
        <v>449</v>
      </c>
      <c r="C228" s="110" t="str">
        <f t="shared" si="29"/>
        <v>ELB4P 50AF 30AT</v>
      </c>
      <c r="D228" s="99" t="s">
        <v>419</v>
      </c>
      <c r="E228" s="475">
        <f t="shared" si="19"/>
        <v>127700</v>
      </c>
      <c r="F228" s="99"/>
      <c r="G228" s="475"/>
      <c r="H228" s="23">
        <v>1160</v>
      </c>
      <c r="I228" s="27">
        <v>127700</v>
      </c>
      <c r="J228" s="24" t="s">
        <v>957</v>
      </c>
      <c r="K228" s="27">
        <v>127700</v>
      </c>
      <c r="L228" s="122"/>
      <c r="M228" s="475"/>
      <c r="N228" s="475"/>
      <c r="O228" s="23"/>
      <c r="P228" s="25"/>
      <c r="Q228" s="25"/>
      <c r="R228" s="25"/>
      <c r="S228" s="25"/>
      <c r="T228" s="25"/>
      <c r="U228" s="25"/>
      <c r="V228" s="25"/>
      <c r="W228" s="28"/>
      <c r="X228" s="124"/>
    </row>
    <row r="229" spans="1:24" s="162" customFormat="1" ht="21.95" hidden="1" customHeight="1">
      <c r="A229" s="110" t="s">
        <v>339</v>
      </c>
      <c r="B229" s="110" t="s">
        <v>299</v>
      </c>
      <c r="C229" s="110" t="str">
        <f t="shared" si="29"/>
        <v>ELB4P 50AF 20AT</v>
      </c>
      <c r="D229" s="99" t="s">
        <v>419</v>
      </c>
      <c r="E229" s="475">
        <f t="shared" si="19"/>
        <v>127700</v>
      </c>
      <c r="F229" s="99"/>
      <c r="G229" s="475"/>
      <c r="H229" s="23">
        <v>1160</v>
      </c>
      <c r="I229" s="27">
        <v>127700</v>
      </c>
      <c r="J229" s="24" t="s">
        <v>942</v>
      </c>
      <c r="K229" s="27">
        <v>127700</v>
      </c>
      <c r="L229" s="122"/>
      <c r="M229" s="475"/>
      <c r="N229" s="475"/>
      <c r="O229" s="23"/>
      <c r="P229" s="25"/>
      <c r="Q229" s="25"/>
      <c r="R229" s="25"/>
      <c r="S229" s="25"/>
      <c r="T229" s="25"/>
      <c r="U229" s="25"/>
      <c r="V229" s="25"/>
      <c r="W229" s="28"/>
      <c r="X229" s="124"/>
    </row>
    <row r="230" spans="1:24" s="162" customFormat="1" ht="21.95" hidden="1" customHeight="1">
      <c r="A230" s="110" t="s">
        <v>120</v>
      </c>
      <c r="B230" s="110" t="s">
        <v>937</v>
      </c>
      <c r="C230" s="110" t="str">
        <f t="shared" si="29"/>
        <v>ELB2P 50AF 40AT</v>
      </c>
      <c r="D230" s="99" t="s">
        <v>419</v>
      </c>
      <c r="E230" s="475">
        <f>MIN(G230,I230,K230,L230,M230)</f>
        <v>39100</v>
      </c>
      <c r="F230" s="99"/>
      <c r="G230" s="475"/>
      <c r="H230" s="23">
        <v>1160</v>
      </c>
      <c r="I230" s="27">
        <v>39100</v>
      </c>
      <c r="J230" s="24" t="s">
        <v>942</v>
      </c>
      <c r="K230" s="27">
        <v>39100</v>
      </c>
      <c r="L230" s="122"/>
      <c r="M230" s="475"/>
      <c r="N230" s="475"/>
      <c r="O230" s="23"/>
      <c r="P230" s="25"/>
      <c r="Q230" s="25"/>
      <c r="R230" s="25"/>
      <c r="S230" s="25"/>
      <c r="T230" s="25"/>
      <c r="U230" s="25"/>
      <c r="V230" s="25"/>
      <c r="W230" s="28"/>
      <c r="X230" s="124" t="s">
        <v>504</v>
      </c>
    </row>
    <row r="231" spans="1:24" s="162" customFormat="1" ht="21.95" hidden="1" customHeight="1">
      <c r="A231" s="110" t="s">
        <v>120</v>
      </c>
      <c r="B231" s="110" t="s">
        <v>938</v>
      </c>
      <c r="C231" s="110" t="str">
        <f t="shared" ref="C231:C258" si="32">A231&amp;B231</f>
        <v>ELB2P 50AF 30AT</v>
      </c>
      <c r="D231" s="99" t="s">
        <v>419</v>
      </c>
      <c r="E231" s="475">
        <f>MIN(G231,I231,K231,L231,M231)</f>
        <v>39100</v>
      </c>
      <c r="F231" s="99"/>
      <c r="G231" s="475"/>
      <c r="H231" s="23">
        <v>1160</v>
      </c>
      <c r="I231" s="27">
        <v>39100</v>
      </c>
      <c r="J231" s="24" t="s">
        <v>942</v>
      </c>
      <c r="K231" s="27">
        <v>39100</v>
      </c>
      <c r="L231" s="122"/>
      <c r="M231" s="475"/>
      <c r="N231" s="475"/>
      <c r="O231" s="23"/>
      <c r="P231" s="25"/>
      <c r="Q231" s="25"/>
      <c r="R231" s="25"/>
      <c r="S231" s="25"/>
      <c r="T231" s="25"/>
      <c r="U231" s="25"/>
      <c r="V231" s="25"/>
      <c r="W231" s="28"/>
      <c r="X231" s="124" t="s">
        <v>504</v>
      </c>
    </row>
    <row r="232" spans="1:24" s="162" customFormat="1" ht="21.95" hidden="1" customHeight="1">
      <c r="A232" s="110" t="s">
        <v>120</v>
      </c>
      <c r="B232" s="110" t="s">
        <v>1001</v>
      </c>
      <c r="C232" s="110" t="str">
        <f t="shared" si="32"/>
        <v>ELB2P 30AF 30AT</v>
      </c>
      <c r="D232" s="99" t="s">
        <v>419</v>
      </c>
      <c r="E232" s="475">
        <f>MIN(G232,I232,K232,L232,M232)</f>
        <v>12900</v>
      </c>
      <c r="F232" s="99"/>
      <c r="G232" s="475"/>
      <c r="H232" s="23">
        <v>1160</v>
      </c>
      <c r="I232" s="27">
        <v>12900</v>
      </c>
      <c r="J232" s="24" t="s">
        <v>941</v>
      </c>
      <c r="K232" s="27">
        <v>12900</v>
      </c>
      <c r="L232" s="122"/>
      <c r="M232" s="475"/>
      <c r="N232" s="475"/>
      <c r="O232" s="23"/>
      <c r="P232" s="25"/>
      <c r="Q232" s="25"/>
      <c r="R232" s="25"/>
      <c r="S232" s="25"/>
      <c r="T232" s="25"/>
      <c r="U232" s="25"/>
      <c r="V232" s="25"/>
      <c r="W232" s="28"/>
      <c r="X232" s="124" t="s">
        <v>504</v>
      </c>
    </row>
    <row r="233" spans="1:24" s="162" customFormat="1" ht="21.95" hidden="1" customHeight="1">
      <c r="A233" s="110" t="s">
        <v>120</v>
      </c>
      <c r="B233" s="110" t="s">
        <v>451</v>
      </c>
      <c r="C233" s="110" t="str">
        <f t="shared" si="32"/>
        <v>ELB2P 30AF 20AT</v>
      </c>
      <c r="D233" s="99" t="s">
        <v>419</v>
      </c>
      <c r="E233" s="475">
        <f t="shared" si="19"/>
        <v>12900</v>
      </c>
      <c r="F233" s="99"/>
      <c r="G233" s="475"/>
      <c r="H233" s="23">
        <v>1161</v>
      </c>
      <c r="I233" s="27">
        <v>12900</v>
      </c>
      <c r="J233" s="24" t="s">
        <v>1181</v>
      </c>
      <c r="K233" s="27">
        <v>12900</v>
      </c>
      <c r="L233" s="122"/>
      <c r="M233" s="475"/>
      <c r="N233" s="475"/>
      <c r="O233" s="23"/>
      <c r="P233" s="25"/>
      <c r="Q233" s="25"/>
      <c r="R233" s="25"/>
      <c r="S233" s="25"/>
      <c r="T233" s="25"/>
      <c r="U233" s="25"/>
      <c r="V233" s="25"/>
      <c r="W233" s="28"/>
      <c r="X233" s="124" t="s">
        <v>504</v>
      </c>
    </row>
    <row r="234" spans="1:24" s="162" customFormat="1" ht="21.95" hidden="1" customHeight="1">
      <c r="A234" s="110" t="s">
        <v>918</v>
      </c>
      <c r="B234" s="110" t="s">
        <v>893</v>
      </c>
      <c r="C234" s="110" t="str">
        <f t="shared" si="32"/>
        <v>전자접촉기(MC)2.7kW/220V  4kW/440V</v>
      </c>
      <c r="D234" s="99" t="s">
        <v>419</v>
      </c>
      <c r="E234" s="475">
        <f t="shared" si="19"/>
        <v>11500</v>
      </c>
      <c r="F234" s="99"/>
      <c r="G234" s="475"/>
      <c r="H234" s="26">
        <v>1152</v>
      </c>
      <c r="I234" s="27">
        <v>11500</v>
      </c>
      <c r="J234" s="24" t="s">
        <v>943</v>
      </c>
      <c r="K234" s="27">
        <v>11500</v>
      </c>
      <c r="L234" s="122"/>
      <c r="M234" s="475"/>
      <c r="N234" s="475"/>
      <c r="O234" s="23"/>
      <c r="P234" s="25"/>
      <c r="Q234" s="25"/>
      <c r="R234" s="25"/>
      <c r="S234" s="25"/>
      <c r="T234" s="25"/>
      <c r="U234" s="25"/>
      <c r="V234" s="25"/>
      <c r="W234" s="28"/>
      <c r="X234" s="124" t="s">
        <v>504</v>
      </c>
    </row>
    <row r="235" spans="1:24" s="162" customFormat="1" ht="21.95" hidden="1" customHeight="1">
      <c r="A235" s="476" t="s">
        <v>919</v>
      </c>
      <c r="B235" s="476" t="s">
        <v>902</v>
      </c>
      <c r="C235" s="110" t="str">
        <f t="shared" si="32"/>
        <v>전자접촉기(MC)3.7kW/220V  5.5kW/440V</v>
      </c>
      <c r="D235" s="99" t="s">
        <v>419</v>
      </c>
      <c r="E235" s="475">
        <f t="shared" si="19"/>
        <v>13300</v>
      </c>
      <c r="F235" s="99"/>
      <c r="G235" s="475"/>
      <c r="H235" s="26">
        <v>1152</v>
      </c>
      <c r="I235" s="27">
        <v>13300</v>
      </c>
      <c r="J235" s="24" t="s">
        <v>943</v>
      </c>
      <c r="K235" s="27">
        <v>13300</v>
      </c>
      <c r="L235" s="122"/>
      <c r="M235" s="475"/>
      <c r="N235" s="475"/>
      <c r="O235" s="23"/>
      <c r="P235" s="25"/>
      <c r="Q235" s="25"/>
      <c r="R235" s="25"/>
      <c r="S235" s="25"/>
      <c r="T235" s="25"/>
      <c r="U235" s="25"/>
      <c r="V235" s="25"/>
      <c r="W235" s="28"/>
      <c r="X235" s="124" t="s">
        <v>504</v>
      </c>
    </row>
    <row r="236" spans="1:24" s="162" customFormat="1" ht="21.95" hidden="1" customHeight="1">
      <c r="A236" s="476" t="s">
        <v>919</v>
      </c>
      <c r="B236" s="476" t="s">
        <v>903</v>
      </c>
      <c r="C236" s="110" t="str">
        <f t="shared" si="32"/>
        <v>전자접촉기(MC)7.5kW/220V 15kW/440V</v>
      </c>
      <c r="D236" s="99" t="s">
        <v>419</v>
      </c>
      <c r="E236" s="475">
        <f t="shared" si="19"/>
        <v>38100</v>
      </c>
      <c r="F236" s="99"/>
      <c r="G236" s="475"/>
      <c r="H236" s="26">
        <v>1152</v>
      </c>
      <c r="I236" s="27">
        <v>38100</v>
      </c>
      <c r="J236" s="24" t="s">
        <v>943</v>
      </c>
      <c r="K236" s="27">
        <v>38100</v>
      </c>
      <c r="L236" s="122"/>
      <c r="M236" s="475"/>
      <c r="N236" s="475"/>
      <c r="O236" s="23"/>
      <c r="P236" s="25"/>
      <c r="Q236" s="25"/>
      <c r="R236" s="25"/>
      <c r="S236" s="25"/>
      <c r="T236" s="25"/>
      <c r="U236" s="25"/>
      <c r="V236" s="25"/>
      <c r="W236" s="28"/>
      <c r="X236" s="124" t="s">
        <v>504</v>
      </c>
    </row>
    <row r="237" spans="1:24" s="162" customFormat="1" ht="21.95" hidden="1" customHeight="1">
      <c r="A237" s="110" t="s">
        <v>300</v>
      </c>
      <c r="B237" s="110" t="s">
        <v>894</v>
      </c>
      <c r="C237" s="110" t="str">
        <f t="shared" si="32"/>
        <v>콘덴서(110/220V) 1P.3P 30UF</v>
      </c>
      <c r="D237" s="99" t="s">
        <v>419</v>
      </c>
      <c r="E237" s="475">
        <f t="shared" ref="E237:E247" si="33">MIN(G237,I237,K237,L237,M237)</f>
        <v>6440</v>
      </c>
      <c r="F237" s="99"/>
      <c r="G237" s="475"/>
      <c r="H237" s="26">
        <v>1126</v>
      </c>
      <c r="I237" s="27">
        <v>6440</v>
      </c>
      <c r="J237" s="24" t="s">
        <v>944</v>
      </c>
      <c r="K237" s="27">
        <v>9800</v>
      </c>
      <c r="L237" s="122"/>
      <c r="M237" s="475"/>
      <c r="N237" s="475"/>
      <c r="O237" s="23"/>
      <c r="P237" s="25"/>
      <c r="Q237" s="25"/>
      <c r="R237" s="25"/>
      <c r="S237" s="25"/>
      <c r="T237" s="25"/>
      <c r="U237" s="25"/>
      <c r="V237" s="25"/>
      <c r="W237" s="28"/>
      <c r="X237" s="124"/>
    </row>
    <row r="238" spans="1:24" s="162" customFormat="1" ht="21.95" hidden="1" customHeight="1">
      <c r="A238" s="110" t="s">
        <v>300</v>
      </c>
      <c r="B238" s="110" t="s">
        <v>904</v>
      </c>
      <c r="C238" s="110" t="str">
        <f t="shared" si="32"/>
        <v>콘덴서(380/440V) 3P 20UF</v>
      </c>
      <c r="D238" s="99" t="s">
        <v>419</v>
      </c>
      <c r="E238" s="475">
        <f t="shared" si="33"/>
        <v>14300</v>
      </c>
      <c r="F238" s="99"/>
      <c r="G238" s="475"/>
      <c r="H238" s="26">
        <v>1126</v>
      </c>
      <c r="I238" s="27">
        <v>14300</v>
      </c>
      <c r="J238" s="24" t="s">
        <v>944</v>
      </c>
      <c r="K238" s="27">
        <v>21200</v>
      </c>
      <c r="L238" s="122"/>
      <c r="M238" s="475"/>
      <c r="N238" s="475"/>
      <c r="O238" s="23"/>
      <c r="P238" s="25"/>
      <c r="Q238" s="25"/>
      <c r="R238" s="25"/>
      <c r="S238" s="25"/>
      <c r="T238" s="25"/>
      <c r="U238" s="25"/>
      <c r="V238" s="25"/>
      <c r="W238" s="28"/>
      <c r="X238" s="124"/>
    </row>
    <row r="239" spans="1:24" s="162" customFormat="1" ht="21.95" hidden="1" customHeight="1">
      <c r="A239" s="110" t="s">
        <v>300</v>
      </c>
      <c r="B239" s="110" t="s">
        <v>905</v>
      </c>
      <c r="C239" s="110" t="str">
        <f t="shared" si="32"/>
        <v>콘덴서(380/440V) 3P 100UF</v>
      </c>
      <c r="D239" s="99" t="s">
        <v>419</v>
      </c>
      <c r="E239" s="475">
        <f t="shared" si="33"/>
        <v>52500</v>
      </c>
      <c r="F239" s="99"/>
      <c r="G239" s="475"/>
      <c r="H239" s="26">
        <v>1126</v>
      </c>
      <c r="I239" s="27">
        <v>52500</v>
      </c>
      <c r="J239" s="24" t="s">
        <v>944</v>
      </c>
      <c r="K239" s="27">
        <v>76600</v>
      </c>
      <c r="L239" s="122"/>
      <c r="M239" s="475"/>
      <c r="N239" s="475"/>
      <c r="O239" s="23"/>
      <c r="P239" s="25"/>
      <c r="Q239" s="25"/>
      <c r="R239" s="25"/>
      <c r="S239" s="25"/>
      <c r="T239" s="25"/>
      <c r="U239" s="25"/>
      <c r="V239" s="25"/>
      <c r="W239" s="28"/>
      <c r="X239" s="124"/>
    </row>
    <row r="240" spans="1:24" s="162" customFormat="1" ht="21.95" hidden="1" customHeight="1">
      <c r="A240" s="110" t="s">
        <v>917</v>
      </c>
      <c r="B240" s="110" t="s">
        <v>890</v>
      </c>
      <c r="C240" s="110" t="str">
        <f t="shared" si="32"/>
        <v>EOCR(FDZ:지락보호)매입형전류계.정/반한시</v>
      </c>
      <c r="D240" s="99" t="s">
        <v>419</v>
      </c>
      <c r="E240" s="475">
        <f t="shared" si="33"/>
        <v>104900</v>
      </c>
      <c r="F240" s="99"/>
      <c r="G240" s="475"/>
      <c r="H240" s="26">
        <v>1195</v>
      </c>
      <c r="I240" s="27">
        <v>104900</v>
      </c>
      <c r="J240" s="24" t="s">
        <v>945</v>
      </c>
      <c r="K240" s="27">
        <v>114600</v>
      </c>
      <c r="L240" s="122"/>
      <c r="M240" s="475"/>
      <c r="N240" s="475"/>
      <c r="O240" s="23"/>
      <c r="P240" s="25"/>
      <c r="Q240" s="25"/>
      <c r="R240" s="25"/>
      <c r="S240" s="25"/>
      <c r="T240" s="25"/>
      <c r="U240" s="25"/>
      <c r="V240" s="25"/>
      <c r="W240" s="28"/>
      <c r="X240" s="124"/>
    </row>
    <row r="241" spans="1:24" s="162" customFormat="1" ht="21.95" hidden="1" customHeight="1">
      <c r="A241" s="110" t="s">
        <v>891</v>
      </c>
      <c r="B241" s="110" t="s">
        <v>892</v>
      </c>
      <c r="C241" s="110" t="str">
        <f t="shared" si="32"/>
        <v>영상변류기(ZCT) EOCR용35Ø(200:1.5mA)</v>
      </c>
      <c r="D241" s="99" t="s">
        <v>419</v>
      </c>
      <c r="E241" s="475">
        <f t="shared" si="33"/>
        <v>18100</v>
      </c>
      <c r="F241" s="99"/>
      <c r="G241" s="475"/>
      <c r="H241" s="26">
        <v>1195</v>
      </c>
      <c r="I241" s="27">
        <v>18100</v>
      </c>
      <c r="J241" s="24" t="s">
        <v>946</v>
      </c>
      <c r="K241" s="27">
        <v>20550</v>
      </c>
      <c r="L241" s="122"/>
      <c r="M241" s="475"/>
      <c r="N241" s="475"/>
      <c r="O241" s="23"/>
      <c r="P241" s="25"/>
      <c r="Q241" s="25"/>
      <c r="R241" s="25"/>
      <c r="S241" s="25"/>
      <c r="T241" s="25"/>
      <c r="U241" s="25"/>
      <c r="V241" s="25"/>
      <c r="W241" s="28"/>
      <c r="X241" s="124"/>
    </row>
    <row r="242" spans="1:24" s="162" customFormat="1" ht="21.95" hidden="1" customHeight="1">
      <c r="A242" s="110" t="s">
        <v>921</v>
      </c>
      <c r="B242" s="110" t="s">
        <v>897</v>
      </c>
      <c r="C242" s="110" t="str">
        <f t="shared" si="32"/>
        <v>PUSH BUTTON S/W (LED)DC 110V/125V 25mm</v>
      </c>
      <c r="D242" s="99" t="s">
        <v>419</v>
      </c>
      <c r="E242" s="475">
        <f t="shared" si="33"/>
        <v>5800</v>
      </c>
      <c r="F242" s="99"/>
      <c r="G242" s="475"/>
      <c r="H242" s="26">
        <v>1210</v>
      </c>
      <c r="I242" s="27">
        <v>5800</v>
      </c>
      <c r="J242" s="24" t="s">
        <v>947</v>
      </c>
      <c r="K242" s="27">
        <v>5800</v>
      </c>
      <c r="L242" s="122"/>
      <c r="M242" s="475"/>
      <c r="N242" s="475"/>
      <c r="O242" s="23"/>
      <c r="P242" s="25"/>
      <c r="Q242" s="25"/>
      <c r="R242" s="25"/>
      <c r="S242" s="25"/>
      <c r="T242" s="25"/>
      <c r="U242" s="25"/>
      <c r="V242" s="25"/>
      <c r="W242" s="28"/>
      <c r="X242" s="124"/>
    </row>
    <row r="243" spans="1:24" s="162" customFormat="1" ht="21.95" hidden="1" customHeight="1">
      <c r="A243" s="110" t="s">
        <v>920</v>
      </c>
      <c r="B243" s="110" t="s">
        <v>898</v>
      </c>
      <c r="C243" s="110" t="str">
        <f t="shared" si="32"/>
        <v>PILOT LAMP (LED)AC 110/220V 25mm</v>
      </c>
      <c r="D243" s="99" t="s">
        <v>419</v>
      </c>
      <c r="E243" s="475">
        <f t="shared" si="33"/>
        <v>5100</v>
      </c>
      <c r="F243" s="99"/>
      <c r="G243" s="475"/>
      <c r="H243" s="26">
        <v>1210</v>
      </c>
      <c r="I243" s="27">
        <v>5100</v>
      </c>
      <c r="J243" s="24" t="s">
        <v>947</v>
      </c>
      <c r="K243" s="27">
        <v>5100</v>
      </c>
      <c r="L243" s="122"/>
      <c r="M243" s="475"/>
      <c r="N243" s="475"/>
      <c r="O243" s="23"/>
      <c r="P243" s="25"/>
      <c r="Q243" s="25"/>
      <c r="R243" s="25"/>
      <c r="S243" s="25"/>
      <c r="T243" s="25"/>
      <c r="U243" s="25"/>
      <c r="V243" s="25"/>
      <c r="W243" s="28"/>
      <c r="X243" s="124"/>
    </row>
    <row r="244" spans="1:24" s="162" customFormat="1" ht="21.95" hidden="1" customHeight="1">
      <c r="A244" s="110" t="s">
        <v>452</v>
      </c>
      <c r="B244" s="110" t="s">
        <v>899</v>
      </c>
      <c r="C244" s="110" t="str">
        <f t="shared" si="32"/>
        <v>SELECTOR S/W300V 6A 2a 2b</v>
      </c>
      <c r="D244" s="99" t="s">
        <v>419</v>
      </c>
      <c r="E244" s="475">
        <f t="shared" si="33"/>
        <v>2100</v>
      </c>
      <c r="F244" s="99"/>
      <c r="G244" s="475"/>
      <c r="H244" s="26">
        <v>1210</v>
      </c>
      <c r="I244" s="27">
        <v>2100</v>
      </c>
      <c r="J244" s="24" t="s">
        <v>947</v>
      </c>
      <c r="K244" s="27">
        <v>2100</v>
      </c>
      <c r="L244" s="122"/>
      <c r="M244" s="475"/>
      <c r="N244" s="475"/>
      <c r="O244" s="23"/>
      <c r="P244" s="25"/>
      <c r="Q244" s="25"/>
      <c r="R244" s="25"/>
      <c r="S244" s="25"/>
      <c r="T244" s="25"/>
      <c r="U244" s="25"/>
      <c r="V244" s="25"/>
      <c r="W244" s="28"/>
      <c r="X244" s="124"/>
    </row>
    <row r="245" spans="1:24" s="162" customFormat="1" ht="21.95" hidden="1" customHeight="1">
      <c r="A245" s="110" t="s">
        <v>900</v>
      </c>
      <c r="B245" s="110" t="s">
        <v>901</v>
      </c>
      <c r="C245" s="110" t="str">
        <f t="shared" si="32"/>
        <v>DIAZED FUSE25A 이하 W/HOLDER</v>
      </c>
      <c r="D245" s="99" t="s">
        <v>419</v>
      </c>
      <c r="E245" s="475">
        <f t="shared" si="33"/>
        <v>464</v>
      </c>
      <c r="F245" s="99"/>
      <c r="G245" s="475"/>
      <c r="H245" s="26">
        <v>1208</v>
      </c>
      <c r="I245" s="27">
        <v>600</v>
      </c>
      <c r="J245" s="24" t="s">
        <v>948</v>
      </c>
      <c r="K245" s="27">
        <v>464</v>
      </c>
      <c r="L245" s="122"/>
      <c r="M245" s="475"/>
      <c r="N245" s="475"/>
      <c r="O245" s="23"/>
      <c r="P245" s="25"/>
      <c r="Q245" s="25"/>
      <c r="R245" s="25"/>
      <c r="S245" s="25"/>
      <c r="T245" s="25"/>
      <c r="U245" s="25"/>
      <c r="V245" s="25"/>
      <c r="W245" s="28"/>
      <c r="X245" s="124"/>
    </row>
    <row r="246" spans="1:24" s="162" customFormat="1" ht="21.95" hidden="1" customHeight="1">
      <c r="A246" s="110" t="s">
        <v>528</v>
      </c>
      <c r="B246" s="110" t="s">
        <v>529</v>
      </c>
      <c r="C246" s="110" t="str">
        <f t="shared" si="32"/>
        <v>타이머24H</v>
      </c>
      <c r="D246" s="99" t="s">
        <v>419</v>
      </c>
      <c r="E246" s="475">
        <f t="shared" si="33"/>
        <v>13100</v>
      </c>
      <c r="F246" s="99"/>
      <c r="G246" s="475"/>
      <c r="H246" s="26">
        <v>1210</v>
      </c>
      <c r="I246" s="27">
        <v>13100</v>
      </c>
      <c r="J246" s="24" t="s">
        <v>947</v>
      </c>
      <c r="K246" s="27">
        <v>13100</v>
      </c>
      <c r="L246" s="122"/>
      <c r="M246" s="475"/>
      <c r="N246" s="475"/>
      <c r="O246" s="23"/>
      <c r="P246" s="25"/>
      <c r="Q246" s="25"/>
      <c r="R246" s="25"/>
      <c r="S246" s="25"/>
      <c r="T246" s="25"/>
      <c r="U246" s="25"/>
      <c r="V246" s="25"/>
      <c r="W246" s="28"/>
      <c r="X246" s="124"/>
    </row>
    <row r="247" spans="1:24" s="162" customFormat="1" ht="21.95" hidden="1" customHeight="1">
      <c r="A247" s="110" t="s">
        <v>914</v>
      </c>
      <c r="B247" s="110" t="s">
        <v>930</v>
      </c>
      <c r="C247" s="110" t="str">
        <f t="shared" si="32"/>
        <v>BUS-BAR(석도금)5Tx20mm</v>
      </c>
      <c r="D247" s="99" t="s">
        <v>598</v>
      </c>
      <c r="E247" s="475">
        <f t="shared" si="33"/>
        <v>6080</v>
      </c>
      <c r="F247" s="99"/>
      <c r="G247" s="475"/>
      <c r="H247" s="26">
        <v>1089</v>
      </c>
      <c r="I247" s="27">
        <v>6080</v>
      </c>
      <c r="J247" s="24"/>
      <c r="K247" s="27"/>
      <c r="L247" s="122"/>
      <c r="M247" s="475"/>
      <c r="N247" s="475"/>
      <c r="O247" s="23"/>
      <c r="P247" s="25"/>
      <c r="Q247" s="25"/>
      <c r="R247" s="25"/>
      <c r="S247" s="25"/>
      <c r="T247" s="25"/>
      <c r="U247" s="25"/>
      <c r="V247" s="25"/>
      <c r="W247" s="28"/>
      <c r="X247" s="124"/>
    </row>
    <row r="248" spans="1:24" s="162" customFormat="1" ht="21.95" hidden="1" customHeight="1">
      <c r="A248" s="110" t="s">
        <v>914</v>
      </c>
      <c r="B248" s="110" t="s">
        <v>928</v>
      </c>
      <c r="C248" s="110" t="str">
        <f t="shared" si="32"/>
        <v>BUS-BAR(석도금)4Tx15mm</v>
      </c>
      <c r="D248" s="99" t="s">
        <v>598</v>
      </c>
      <c r="E248" s="475">
        <f t="shared" ref="E248:E258" si="34">MIN(G248,I248,K248,L248,M248)</f>
        <v>3650</v>
      </c>
      <c r="F248" s="99"/>
      <c r="G248" s="475"/>
      <c r="H248" s="26">
        <v>1089</v>
      </c>
      <c r="I248" s="27">
        <v>3650</v>
      </c>
      <c r="J248" s="24"/>
      <c r="K248" s="27"/>
      <c r="L248" s="122"/>
      <c r="M248" s="475"/>
      <c r="N248" s="475"/>
      <c r="O248" s="23"/>
      <c r="P248" s="25"/>
      <c r="Q248" s="25"/>
      <c r="R248" s="25"/>
      <c r="S248" s="25"/>
      <c r="T248" s="25"/>
      <c r="U248" s="25"/>
      <c r="V248" s="25"/>
      <c r="W248" s="28"/>
      <c r="X248" s="124"/>
    </row>
    <row r="249" spans="1:24" s="162" customFormat="1" ht="21.95" hidden="1" customHeight="1">
      <c r="A249" s="110" t="s">
        <v>914</v>
      </c>
      <c r="B249" s="110" t="s">
        <v>915</v>
      </c>
      <c r="C249" s="110" t="str">
        <f t="shared" si="32"/>
        <v>BUS-BAR(석도금)3Tx25mm</v>
      </c>
      <c r="D249" s="99" t="s">
        <v>598</v>
      </c>
      <c r="E249" s="475">
        <f t="shared" si="34"/>
        <v>4630</v>
      </c>
      <c r="F249" s="99"/>
      <c r="G249" s="475"/>
      <c r="H249" s="26">
        <v>1089</v>
      </c>
      <c r="I249" s="27">
        <v>4630</v>
      </c>
      <c r="J249" s="24"/>
      <c r="K249" s="27"/>
      <c r="L249" s="122"/>
      <c r="M249" s="475"/>
      <c r="N249" s="475"/>
      <c r="O249" s="23"/>
      <c r="P249" s="25"/>
      <c r="Q249" s="25"/>
      <c r="R249" s="25"/>
      <c r="S249" s="25"/>
      <c r="T249" s="25"/>
      <c r="U249" s="25"/>
      <c r="V249" s="25"/>
      <c r="W249" s="28"/>
      <c r="X249" s="124"/>
    </row>
    <row r="250" spans="1:24" s="162" customFormat="1" ht="21.95" hidden="1" customHeight="1">
      <c r="A250" s="110" t="s">
        <v>914</v>
      </c>
      <c r="B250" s="110" t="s">
        <v>916</v>
      </c>
      <c r="C250" s="110" t="str">
        <f t="shared" si="32"/>
        <v>BUS-BAR(석도금)3Tx15mm</v>
      </c>
      <c r="D250" s="99" t="s">
        <v>598</v>
      </c>
      <c r="E250" s="475">
        <f t="shared" si="34"/>
        <v>2780</v>
      </c>
      <c r="F250" s="99"/>
      <c r="G250" s="475"/>
      <c r="H250" s="26">
        <v>1089</v>
      </c>
      <c r="I250" s="27">
        <v>2780</v>
      </c>
      <c r="J250" s="24"/>
      <c r="K250" s="27"/>
      <c r="L250" s="122"/>
      <c r="M250" s="475"/>
      <c r="N250" s="475"/>
      <c r="O250" s="23"/>
      <c r="P250" s="25"/>
      <c r="Q250" s="25"/>
      <c r="R250" s="25"/>
      <c r="S250" s="25"/>
      <c r="T250" s="25"/>
      <c r="U250" s="25"/>
      <c r="V250" s="25"/>
      <c r="W250" s="28"/>
      <c r="X250" s="124"/>
    </row>
    <row r="251" spans="1:24" s="162" customFormat="1" ht="21.95" hidden="1" customHeight="1">
      <c r="A251" s="110" t="s">
        <v>923</v>
      </c>
      <c r="B251" s="110" t="s">
        <v>922</v>
      </c>
      <c r="C251" s="110" t="str">
        <f t="shared" si="32"/>
        <v>접지단자10P</v>
      </c>
      <c r="D251" s="99" t="s">
        <v>419</v>
      </c>
      <c r="E251" s="475">
        <f t="shared" si="34"/>
        <v>3600</v>
      </c>
      <c r="F251" s="99"/>
      <c r="G251" s="475"/>
      <c r="H251" s="26"/>
      <c r="I251" s="27"/>
      <c r="J251" s="24"/>
      <c r="K251" s="27"/>
      <c r="L251" s="27">
        <v>3600</v>
      </c>
      <c r="M251" s="475"/>
      <c r="N251" s="475"/>
      <c r="O251" s="23"/>
      <c r="P251" s="25"/>
      <c r="Q251" s="30"/>
      <c r="R251" s="30"/>
      <c r="S251" s="30"/>
      <c r="T251" s="30"/>
      <c r="U251" s="30"/>
      <c r="V251" s="30"/>
      <c r="W251" s="472"/>
      <c r="X251" s="174"/>
    </row>
    <row r="252" spans="1:24" s="162" customFormat="1" ht="21.95" hidden="1" customHeight="1">
      <c r="A252" s="110" t="s">
        <v>924</v>
      </c>
      <c r="B252" s="110" t="s">
        <v>922</v>
      </c>
      <c r="C252" s="110" t="str">
        <f t="shared" si="32"/>
        <v>중성단자10P</v>
      </c>
      <c r="D252" s="99" t="s">
        <v>419</v>
      </c>
      <c r="E252" s="475">
        <f t="shared" si="34"/>
        <v>4000</v>
      </c>
      <c r="F252" s="99"/>
      <c r="G252" s="475"/>
      <c r="H252" s="26"/>
      <c r="I252" s="27"/>
      <c r="J252" s="24"/>
      <c r="K252" s="27"/>
      <c r="L252" s="27">
        <v>4000</v>
      </c>
      <c r="M252" s="475"/>
      <c r="N252" s="475"/>
      <c r="O252" s="23"/>
      <c r="P252" s="25"/>
      <c r="Q252" s="30"/>
      <c r="R252" s="30"/>
      <c r="S252" s="30"/>
      <c r="T252" s="30"/>
      <c r="U252" s="30"/>
      <c r="V252" s="30"/>
      <c r="W252" s="472"/>
      <c r="X252" s="174"/>
    </row>
    <row r="253" spans="1:24" s="162" customFormat="1" ht="21.95" hidden="1" customHeight="1">
      <c r="A253" s="110" t="s">
        <v>380</v>
      </c>
      <c r="B253" s="110" t="s">
        <v>926</v>
      </c>
      <c r="C253" s="110" t="str">
        <f t="shared" si="32"/>
        <v>DOOR HANDLEKEY BUTTON (HD303 대)</v>
      </c>
      <c r="D253" s="99" t="s">
        <v>419</v>
      </c>
      <c r="E253" s="475">
        <f t="shared" si="34"/>
        <v>12000</v>
      </c>
      <c r="F253" s="99"/>
      <c r="G253" s="475"/>
      <c r="H253" s="26"/>
      <c r="I253" s="27"/>
      <c r="J253" s="24"/>
      <c r="K253" s="27"/>
      <c r="L253" s="27">
        <v>12000</v>
      </c>
      <c r="M253" s="475"/>
      <c r="N253" s="475"/>
      <c r="O253" s="23"/>
      <c r="P253" s="25"/>
      <c r="Q253" s="30"/>
      <c r="R253" s="30"/>
      <c r="S253" s="30"/>
      <c r="T253" s="30"/>
      <c r="U253" s="30"/>
      <c r="V253" s="30"/>
      <c r="W253" s="472"/>
      <c r="X253" s="174"/>
    </row>
    <row r="254" spans="1:24" s="162" customFormat="1" ht="21.95" hidden="1" customHeight="1">
      <c r="A254" s="110" t="s">
        <v>380</v>
      </c>
      <c r="B254" s="110" t="s">
        <v>913</v>
      </c>
      <c r="C254" s="110" t="str">
        <f t="shared" si="32"/>
        <v>DOOR HANDLEKEY HANDLE(대)</v>
      </c>
      <c r="D254" s="99" t="s">
        <v>419</v>
      </c>
      <c r="E254" s="475">
        <f t="shared" si="34"/>
        <v>7500</v>
      </c>
      <c r="F254" s="99"/>
      <c r="G254" s="475"/>
      <c r="H254" s="26"/>
      <c r="I254" s="27"/>
      <c r="J254" s="24"/>
      <c r="K254" s="27"/>
      <c r="L254" s="27">
        <v>7500</v>
      </c>
      <c r="M254" s="475"/>
      <c r="N254" s="475"/>
      <c r="O254" s="23"/>
      <c r="P254" s="25"/>
      <c r="Q254" s="30"/>
      <c r="R254" s="30"/>
      <c r="S254" s="30"/>
      <c r="T254" s="30"/>
      <c r="U254" s="30"/>
      <c r="V254" s="30"/>
      <c r="W254" s="472"/>
      <c r="X254" s="174"/>
    </row>
    <row r="255" spans="1:24" s="162" customFormat="1" ht="21.95" hidden="1" customHeight="1">
      <c r="A255" s="110" t="s">
        <v>305</v>
      </c>
      <c r="B255" s="110" t="s">
        <v>911</v>
      </c>
      <c r="C255" s="110" t="str">
        <f t="shared" si="32"/>
        <v>NAME PLATE중</v>
      </c>
      <c r="D255" s="99" t="s">
        <v>419</v>
      </c>
      <c r="E255" s="475">
        <f t="shared" si="34"/>
        <v>4000</v>
      </c>
      <c r="F255" s="99"/>
      <c r="G255" s="475"/>
      <c r="H255" s="26"/>
      <c r="I255" s="27"/>
      <c r="J255" s="24"/>
      <c r="K255" s="27"/>
      <c r="L255" s="27">
        <v>4000</v>
      </c>
      <c r="M255" s="475"/>
      <c r="N255" s="475"/>
      <c r="O255" s="23"/>
      <c r="P255" s="25"/>
      <c r="Q255" s="30"/>
      <c r="R255" s="30"/>
      <c r="S255" s="30"/>
      <c r="T255" s="30"/>
      <c r="U255" s="30"/>
      <c r="V255" s="30"/>
      <c r="W255" s="472"/>
      <c r="X255" s="174"/>
    </row>
    <row r="256" spans="1:24" s="162" customFormat="1" ht="21.95" hidden="1" customHeight="1">
      <c r="A256" s="110" t="s">
        <v>305</v>
      </c>
      <c r="B256" s="110" t="s">
        <v>912</v>
      </c>
      <c r="C256" s="110" t="str">
        <f t="shared" si="32"/>
        <v>NAME PLATE소</v>
      </c>
      <c r="D256" s="99" t="s">
        <v>419</v>
      </c>
      <c r="E256" s="475">
        <f t="shared" si="34"/>
        <v>1500</v>
      </c>
      <c r="F256" s="99"/>
      <c r="G256" s="475"/>
      <c r="H256" s="26"/>
      <c r="I256" s="27"/>
      <c r="J256" s="24"/>
      <c r="K256" s="27"/>
      <c r="L256" s="27">
        <v>1500</v>
      </c>
      <c r="M256" s="475"/>
      <c r="N256" s="475"/>
      <c r="O256" s="23"/>
      <c r="P256" s="25"/>
      <c r="Q256" s="30"/>
      <c r="R256" s="30"/>
      <c r="S256" s="30"/>
      <c r="T256" s="30"/>
      <c r="U256" s="30"/>
      <c r="V256" s="30"/>
      <c r="W256" s="472"/>
      <c r="X256" s="174"/>
    </row>
    <row r="257" spans="1:24" s="162" customFormat="1" ht="21.95" hidden="1" customHeight="1">
      <c r="A257" s="110" t="s">
        <v>895</v>
      </c>
      <c r="B257" s="110" t="s">
        <v>896</v>
      </c>
      <c r="C257" s="110" t="str">
        <f t="shared" si="32"/>
        <v>단자대(TB)3P 30A</v>
      </c>
      <c r="D257" s="99" t="s">
        <v>419</v>
      </c>
      <c r="E257" s="475">
        <f t="shared" si="34"/>
        <v>1310</v>
      </c>
      <c r="F257" s="99"/>
      <c r="G257" s="475"/>
      <c r="H257" s="26"/>
      <c r="I257" s="27"/>
      <c r="J257" s="24" t="s">
        <v>940</v>
      </c>
      <c r="K257" s="27">
        <v>1310</v>
      </c>
      <c r="L257" s="27"/>
      <c r="M257" s="475"/>
      <c r="N257" s="475"/>
      <c r="O257" s="23"/>
      <c r="P257" s="25"/>
      <c r="Q257" s="30"/>
      <c r="R257" s="30"/>
      <c r="S257" s="30"/>
      <c r="T257" s="30"/>
      <c r="U257" s="30"/>
      <c r="V257" s="30"/>
      <c r="W257" s="472"/>
      <c r="X257" s="174"/>
    </row>
    <row r="258" spans="1:24" s="162" customFormat="1" ht="21.95" hidden="1" customHeight="1">
      <c r="A258" s="110" t="s">
        <v>895</v>
      </c>
      <c r="B258" s="110" t="s">
        <v>906</v>
      </c>
      <c r="C258" s="110" t="str">
        <f t="shared" si="32"/>
        <v>단자대(TB)3P 60A</v>
      </c>
      <c r="D258" s="99" t="s">
        <v>419</v>
      </c>
      <c r="E258" s="475">
        <f t="shared" si="34"/>
        <v>2600</v>
      </c>
      <c r="F258" s="99"/>
      <c r="G258" s="475"/>
      <c r="H258" s="26"/>
      <c r="I258" s="27"/>
      <c r="J258" s="24" t="s">
        <v>940</v>
      </c>
      <c r="K258" s="27">
        <v>2600</v>
      </c>
      <c r="L258" s="27"/>
      <c r="M258" s="475"/>
      <c r="N258" s="475"/>
      <c r="O258" s="23"/>
      <c r="P258" s="25"/>
      <c r="Q258" s="30"/>
      <c r="R258" s="30"/>
      <c r="S258" s="30"/>
      <c r="T258" s="30"/>
      <c r="U258" s="30"/>
      <c r="V258" s="30"/>
      <c r="W258" s="472"/>
      <c r="X258" s="174"/>
    </row>
    <row r="259" spans="1:24" s="162" customFormat="1" ht="21.95" hidden="1" customHeight="1">
      <c r="A259" s="110" t="s">
        <v>909</v>
      </c>
      <c r="B259" s="110" t="s">
        <v>910</v>
      </c>
      <c r="C259" s="110" t="str">
        <f t="shared" ref="C259:C265" si="35">A259&amp;B259</f>
        <v>분전함(ALL STS-1.5t)700x1200x200</v>
      </c>
      <c r="D259" s="99" t="s">
        <v>939</v>
      </c>
      <c r="E259" s="475">
        <f t="shared" ref="E259:E265" si="36">MIN(G259,I259,K259,L259,M259)</f>
        <v>580000</v>
      </c>
      <c r="F259" s="99"/>
      <c r="G259" s="475"/>
      <c r="H259" s="26"/>
      <c r="I259" s="27"/>
      <c r="J259" s="24"/>
      <c r="K259" s="27"/>
      <c r="L259" s="27">
        <v>580000</v>
      </c>
      <c r="M259" s="475"/>
      <c r="N259" s="475"/>
      <c r="O259" s="23"/>
      <c r="P259" s="25"/>
      <c r="Q259" s="30"/>
      <c r="R259" s="30"/>
      <c r="S259" s="30"/>
      <c r="T259" s="30"/>
      <c r="U259" s="30"/>
      <c r="V259" s="30"/>
      <c r="W259" s="472"/>
      <c r="X259" s="174"/>
    </row>
    <row r="260" spans="1:24" s="162" customFormat="1" ht="21.95" hidden="1" customHeight="1">
      <c r="A260" s="110" t="s">
        <v>909</v>
      </c>
      <c r="B260" s="110" t="s">
        <v>925</v>
      </c>
      <c r="C260" s="110" t="str">
        <f t="shared" si="35"/>
        <v>분전함(ALL STS-1.5t)700x1000x200</v>
      </c>
      <c r="D260" s="99" t="s">
        <v>939</v>
      </c>
      <c r="E260" s="475">
        <f t="shared" si="36"/>
        <v>501000</v>
      </c>
      <c r="F260" s="99"/>
      <c r="G260" s="475"/>
      <c r="H260" s="26"/>
      <c r="I260" s="27"/>
      <c r="J260" s="24"/>
      <c r="K260" s="27"/>
      <c r="L260" s="27">
        <v>501000</v>
      </c>
      <c r="M260" s="475"/>
      <c r="N260" s="475"/>
      <c r="O260" s="23"/>
      <c r="P260" s="25"/>
      <c r="Q260" s="30"/>
      <c r="R260" s="30"/>
      <c r="S260" s="30"/>
      <c r="T260" s="30"/>
      <c r="U260" s="30"/>
      <c r="V260" s="30"/>
      <c r="W260" s="472"/>
      <c r="X260" s="174"/>
    </row>
    <row r="261" spans="1:24" s="162" customFormat="1" ht="21.95" hidden="1" customHeight="1">
      <c r="A261" s="110" t="s">
        <v>909</v>
      </c>
      <c r="B261" s="110" t="s">
        <v>929</v>
      </c>
      <c r="C261" s="110" t="str">
        <f t="shared" si="35"/>
        <v>분전함(ALL STS-1.5t)800x1500x150</v>
      </c>
      <c r="D261" s="99" t="s">
        <v>939</v>
      </c>
      <c r="E261" s="475">
        <f t="shared" si="36"/>
        <v>769000</v>
      </c>
      <c r="F261" s="99"/>
      <c r="G261" s="475"/>
      <c r="H261" s="26"/>
      <c r="I261" s="27"/>
      <c r="J261" s="24"/>
      <c r="K261" s="27"/>
      <c r="L261" s="27">
        <v>769000</v>
      </c>
      <c r="M261" s="475"/>
      <c r="N261" s="475"/>
      <c r="O261" s="23"/>
      <c r="P261" s="25"/>
      <c r="Q261" s="30"/>
      <c r="R261" s="30"/>
      <c r="S261" s="30"/>
      <c r="T261" s="30"/>
      <c r="U261" s="30"/>
      <c r="V261" s="30"/>
      <c r="W261" s="472"/>
      <c r="X261" s="174"/>
    </row>
    <row r="262" spans="1:24" s="162" customFormat="1" ht="21.95" hidden="1" customHeight="1">
      <c r="A262" s="110" t="s">
        <v>909</v>
      </c>
      <c r="B262" s="110" t="s">
        <v>931</v>
      </c>
      <c r="C262" s="110" t="str">
        <f t="shared" si="35"/>
        <v>분전함(ALL STS-1.5t)800x900x150</v>
      </c>
      <c r="D262" s="99" t="s">
        <v>939</v>
      </c>
      <c r="E262" s="475">
        <f t="shared" si="36"/>
        <v>509000</v>
      </c>
      <c r="F262" s="99"/>
      <c r="G262" s="475"/>
      <c r="H262" s="26"/>
      <c r="I262" s="27"/>
      <c r="J262" s="24"/>
      <c r="K262" s="27"/>
      <c r="L262" s="27">
        <v>509000</v>
      </c>
      <c r="M262" s="475"/>
      <c r="N262" s="475"/>
      <c r="O262" s="23"/>
      <c r="P262" s="25"/>
      <c r="Q262" s="30"/>
      <c r="R262" s="30"/>
      <c r="S262" s="30"/>
      <c r="T262" s="30"/>
      <c r="U262" s="30"/>
      <c r="V262" s="30"/>
      <c r="W262" s="472"/>
      <c r="X262" s="174"/>
    </row>
    <row r="263" spans="1:24" s="162" customFormat="1" ht="21.95" hidden="1" customHeight="1">
      <c r="A263" s="110" t="s">
        <v>909</v>
      </c>
      <c r="B263" s="110" t="s">
        <v>932</v>
      </c>
      <c r="C263" s="110" t="str">
        <f t="shared" si="35"/>
        <v>분전함(ALL STS-1.5t)700x1500x150</v>
      </c>
      <c r="D263" s="99" t="s">
        <v>939</v>
      </c>
      <c r="E263" s="475">
        <f t="shared" si="36"/>
        <v>697000</v>
      </c>
      <c r="F263" s="99"/>
      <c r="G263" s="475"/>
      <c r="H263" s="26"/>
      <c r="I263" s="27"/>
      <c r="J263" s="24"/>
      <c r="K263" s="27"/>
      <c r="L263" s="27">
        <v>697000</v>
      </c>
      <c r="M263" s="475"/>
      <c r="N263" s="475"/>
      <c r="O263" s="23"/>
      <c r="P263" s="25"/>
      <c r="Q263" s="30"/>
      <c r="R263" s="30"/>
      <c r="S263" s="30"/>
      <c r="T263" s="30"/>
      <c r="U263" s="30"/>
      <c r="V263" s="30"/>
      <c r="W263" s="472"/>
      <c r="X263" s="174"/>
    </row>
    <row r="264" spans="1:24" s="162" customFormat="1" ht="21.95" hidden="1" customHeight="1">
      <c r="A264" s="110" t="s">
        <v>909</v>
      </c>
      <c r="B264" s="110" t="s">
        <v>933</v>
      </c>
      <c r="C264" s="110" t="str">
        <f t="shared" si="35"/>
        <v>분전함(ALL STS-1.5t)600x1000x150</v>
      </c>
      <c r="D264" s="99" t="s">
        <v>939</v>
      </c>
      <c r="E264" s="475">
        <f t="shared" si="36"/>
        <v>447000</v>
      </c>
      <c r="F264" s="99"/>
      <c r="G264" s="475"/>
      <c r="H264" s="26"/>
      <c r="I264" s="27"/>
      <c r="J264" s="24"/>
      <c r="K264" s="27"/>
      <c r="L264" s="27">
        <v>447000</v>
      </c>
      <c r="M264" s="475"/>
      <c r="N264" s="475"/>
      <c r="O264" s="23"/>
      <c r="P264" s="25"/>
      <c r="Q264" s="30"/>
      <c r="R264" s="30"/>
      <c r="S264" s="30"/>
      <c r="T264" s="30"/>
      <c r="U264" s="30"/>
      <c r="V264" s="30"/>
      <c r="W264" s="472"/>
      <c r="X264" s="174"/>
    </row>
    <row r="265" spans="1:24" s="162" customFormat="1" ht="21.95" hidden="1" customHeight="1">
      <c r="A265" s="110" t="s">
        <v>909</v>
      </c>
      <c r="B265" s="110" t="s">
        <v>934</v>
      </c>
      <c r="C265" s="110" t="str">
        <f t="shared" si="35"/>
        <v>분전함(ALL STS-1.5t)650x800x150</v>
      </c>
      <c r="D265" s="99" t="s">
        <v>939</v>
      </c>
      <c r="E265" s="475">
        <f t="shared" si="36"/>
        <v>417000</v>
      </c>
      <c r="F265" s="99"/>
      <c r="G265" s="475"/>
      <c r="H265" s="26"/>
      <c r="I265" s="27"/>
      <c r="J265" s="24"/>
      <c r="K265" s="27"/>
      <c r="L265" s="27">
        <v>417000</v>
      </c>
      <c r="M265" s="475"/>
      <c r="N265" s="475"/>
      <c r="O265" s="23"/>
      <c r="P265" s="25"/>
      <c r="Q265" s="30"/>
      <c r="R265" s="30"/>
      <c r="S265" s="30"/>
      <c r="T265" s="30"/>
      <c r="U265" s="30"/>
      <c r="V265" s="30"/>
      <c r="W265" s="472"/>
      <c r="X265" s="174"/>
    </row>
    <row r="266" spans="1:24" s="162" customFormat="1" ht="21.95" hidden="1" customHeight="1">
      <c r="A266" s="110" t="s">
        <v>935</v>
      </c>
      <c r="B266" s="110" t="s">
        <v>936</v>
      </c>
      <c r="C266" s="110" t="str">
        <f t="shared" ref="C266:C279" si="37">A266&amp;B266</f>
        <v>분전함(DOOR STS-1.5t)500x600x150</v>
      </c>
      <c r="D266" s="99" t="s">
        <v>939</v>
      </c>
      <c r="E266" s="475">
        <f t="shared" ref="E266:E282" si="38">MIN(G266,I266,K266,L266,M266)</f>
        <v>170000</v>
      </c>
      <c r="F266" s="99"/>
      <c r="G266" s="475"/>
      <c r="H266" s="26"/>
      <c r="I266" s="27"/>
      <c r="J266" s="24"/>
      <c r="K266" s="27"/>
      <c r="L266" s="27">
        <v>170000</v>
      </c>
      <c r="M266" s="475"/>
      <c r="N266" s="475"/>
      <c r="O266" s="23"/>
      <c r="P266" s="25"/>
      <c r="Q266" s="30"/>
      <c r="R266" s="30"/>
      <c r="S266" s="30"/>
      <c r="T266" s="30"/>
      <c r="U266" s="30"/>
      <c r="V266" s="30"/>
      <c r="W266" s="472"/>
      <c r="X266" s="174"/>
    </row>
    <row r="267" spans="1:24" s="162" customFormat="1" ht="21.95" hidden="1" customHeight="1">
      <c r="A267" s="110" t="s">
        <v>599</v>
      </c>
      <c r="B267" s="110" t="s">
        <v>600</v>
      </c>
      <c r="C267" s="110" t="str">
        <f t="shared" si="37"/>
        <v>레벨스위치전극봉식, 3극</v>
      </c>
      <c r="D267" s="99" t="s">
        <v>419</v>
      </c>
      <c r="E267" s="475">
        <f t="shared" si="38"/>
        <v>60000</v>
      </c>
      <c r="F267" s="99"/>
      <c r="G267" s="475"/>
      <c r="H267" s="26"/>
      <c r="I267" s="27"/>
      <c r="J267" s="24">
        <v>1090</v>
      </c>
      <c r="K267" s="27">
        <v>60000</v>
      </c>
      <c r="L267" s="122"/>
      <c r="M267" s="475"/>
      <c r="N267" s="475"/>
      <c r="O267" s="23"/>
      <c r="P267" s="25"/>
      <c r="Q267" s="25"/>
      <c r="R267" s="25"/>
      <c r="S267" s="25"/>
      <c r="T267" s="25"/>
      <c r="U267" s="25"/>
      <c r="V267" s="25"/>
      <c r="W267" s="28"/>
      <c r="X267" s="124"/>
    </row>
    <row r="268" spans="1:24" s="162" customFormat="1" ht="21.95" hidden="1" customHeight="1">
      <c r="A268" s="110" t="s">
        <v>599</v>
      </c>
      <c r="B268" s="110" t="s">
        <v>1007</v>
      </c>
      <c r="C268" s="110" t="str">
        <f t="shared" si="37"/>
        <v>레벨스위치전극봉식, 5극</v>
      </c>
      <c r="D268" s="99" t="s">
        <v>419</v>
      </c>
      <c r="E268" s="475">
        <f t="shared" si="38"/>
        <v>170000</v>
      </c>
      <c r="F268" s="99"/>
      <c r="G268" s="475"/>
      <c r="H268" s="26"/>
      <c r="I268" s="27"/>
      <c r="J268" s="24" t="s">
        <v>301</v>
      </c>
      <c r="K268" s="27">
        <v>170000</v>
      </c>
      <c r="L268" s="122"/>
      <c r="M268" s="475"/>
      <c r="N268" s="475"/>
      <c r="O268" s="23"/>
      <c r="P268" s="25"/>
      <c r="Q268" s="25"/>
      <c r="R268" s="25"/>
      <c r="S268" s="25"/>
      <c r="T268" s="25"/>
      <c r="U268" s="25"/>
      <c r="V268" s="25"/>
      <c r="W268" s="28"/>
      <c r="X268" s="124"/>
    </row>
    <row r="269" spans="1:24" ht="21.95" hidden="1" customHeight="1">
      <c r="A269" s="110" t="s">
        <v>514</v>
      </c>
      <c r="B269" s="110" t="s">
        <v>575</v>
      </c>
      <c r="C269" s="110" t="str">
        <f t="shared" si="37"/>
        <v>지중매설표시기주물10Φ x 150</v>
      </c>
      <c r="D269" s="99" t="s">
        <v>419</v>
      </c>
      <c r="E269" s="475">
        <f t="shared" si="38"/>
        <v>6800</v>
      </c>
      <c r="F269" s="99"/>
      <c r="G269" s="475"/>
      <c r="H269" s="164"/>
      <c r="I269" s="402"/>
      <c r="J269" s="389">
        <v>1335</v>
      </c>
      <c r="K269" s="390">
        <v>6800</v>
      </c>
      <c r="L269" s="126"/>
      <c r="M269" s="475"/>
      <c r="N269" s="475"/>
      <c r="O269" s="23"/>
      <c r="P269" s="25"/>
      <c r="Q269" s="30"/>
      <c r="R269" s="30"/>
      <c r="S269" s="30"/>
      <c r="T269" s="30"/>
      <c r="U269" s="30"/>
      <c r="V269" s="30"/>
      <c r="W269" s="30"/>
      <c r="X269" s="174"/>
    </row>
    <row r="270" spans="1:24" s="162" customFormat="1" ht="21.95" hidden="1" customHeight="1">
      <c r="A270" s="110" t="s">
        <v>453</v>
      </c>
      <c r="B270" s="110" t="s">
        <v>576</v>
      </c>
      <c r="C270" s="110" t="str">
        <f t="shared" si="37"/>
        <v>PVC BOX(철카바)C/T 4각</v>
      </c>
      <c r="D270" s="99" t="s">
        <v>419</v>
      </c>
      <c r="E270" s="475">
        <f t="shared" si="38"/>
        <v>1183</v>
      </c>
      <c r="F270" s="99"/>
      <c r="G270" s="475">
        <v>1183</v>
      </c>
      <c r="H270" s="496" t="s">
        <v>1209</v>
      </c>
      <c r="I270" s="27">
        <f>1100+290</f>
        <v>1390</v>
      </c>
      <c r="J270" s="24"/>
      <c r="K270" s="27"/>
      <c r="L270" s="122"/>
      <c r="M270" s="475"/>
      <c r="N270" s="475"/>
      <c r="O270" s="23"/>
      <c r="P270" s="25"/>
      <c r="Q270" s="25"/>
      <c r="R270" s="25"/>
      <c r="S270" s="25"/>
      <c r="T270" s="25"/>
      <c r="U270" s="25"/>
      <c r="V270" s="25"/>
      <c r="W270" s="28"/>
      <c r="X270" s="124" t="s">
        <v>503</v>
      </c>
    </row>
    <row r="271" spans="1:24" s="162" customFormat="1" ht="21.95" hidden="1" customHeight="1">
      <c r="A271" s="110" t="s">
        <v>453</v>
      </c>
      <c r="B271" s="110" t="s">
        <v>577</v>
      </c>
      <c r="C271" s="110" t="str">
        <f t="shared" si="37"/>
        <v>PVC BOX(철카바)C/T 8각</v>
      </c>
      <c r="D271" s="99" t="s">
        <v>419</v>
      </c>
      <c r="E271" s="475">
        <f t="shared" si="38"/>
        <v>1064</v>
      </c>
      <c r="F271" s="99"/>
      <c r="G271" s="475">
        <v>1064</v>
      </c>
      <c r="H271" s="496" t="s">
        <v>1209</v>
      </c>
      <c r="I271" s="27">
        <f>1000+290</f>
        <v>1290</v>
      </c>
      <c r="J271" s="24"/>
      <c r="K271" s="27"/>
      <c r="L271" s="122"/>
      <c r="M271" s="475"/>
      <c r="N271" s="475"/>
      <c r="O271" s="23"/>
      <c r="P271" s="25"/>
      <c r="Q271" s="25"/>
      <c r="R271" s="25"/>
      <c r="S271" s="25"/>
      <c r="T271" s="25"/>
      <c r="U271" s="25"/>
      <c r="V271" s="25"/>
      <c r="W271" s="28"/>
      <c r="X271" s="124" t="s">
        <v>503</v>
      </c>
    </row>
    <row r="272" spans="1:24" s="162" customFormat="1" ht="21.95" hidden="1" customHeight="1">
      <c r="A272" s="110" t="s">
        <v>453</v>
      </c>
      <c r="B272" s="110" t="s">
        <v>578</v>
      </c>
      <c r="C272" s="110" t="str">
        <f t="shared" si="37"/>
        <v>PVC BOX(철카바)O/L 4각</v>
      </c>
      <c r="D272" s="99" t="s">
        <v>419</v>
      </c>
      <c r="E272" s="475">
        <f t="shared" si="38"/>
        <v>990</v>
      </c>
      <c r="F272" s="99"/>
      <c r="G272" s="475">
        <v>1100</v>
      </c>
      <c r="H272" s="496" t="s">
        <v>1209</v>
      </c>
      <c r="I272" s="27">
        <f>700+290</f>
        <v>990</v>
      </c>
      <c r="J272" s="24"/>
      <c r="K272" s="27"/>
      <c r="L272" s="122"/>
      <c r="M272" s="475"/>
      <c r="N272" s="475"/>
      <c r="O272" s="23"/>
      <c r="P272" s="25"/>
      <c r="Q272" s="25"/>
      <c r="R272" s="25"/>
      <c r="S272" s="25"/>
      <c r="T272" s="25"/>
      <c r="U272" s="25"/>
      <c r="V272" s="25"/>
      <c r="W272" s="28"/>
      <c r="X272" s="124" t="s">
        <v>503</v>
      </c>
    </row>
    <row r="273" spans="1:24" s="162" customFormat="1" ht="21.95" hidden="1" customHeight="1">
      <c r="A273" s="110" t="s">
        <v>453</v>
      </c>
      <c r="B273" s="110" t="s">
        <v>579</v>
      </c>
      <c r="C273" s="110" t="str">
        <f t="shared" si="37"/>
        <v>PVC BOX(철카바)S/W 1개용</v>
      </c>
      <c r="D273" s="99" t="s">
        <v>419</v>
      </c>
      <c r="E273" s="475">
        <f t="shared" si="38"/>
        <v>840</v>
      </c>
      <c r="F273" s="99"/>
      <c r="G273" s="475">
        <v>1000</v>
      </c>
      <c r="H273" s="496" t="s">
        <v>1209</v>
      </c>
      <c r="I273" s="27">
        <f>600+240</f>
        <v>840</v>
      </c>
      <c r="J273" s="24"/>
      <c r="K273" s="27"/>
      <c r="L273" s="122"/>
      <c r="M273" s="475"/>
      <c r="N273" s="475"/>
      <c r="O273" s="23"/>
      <c r="P273" s="25"/>
      <c r="Q273" s="25"/>
      <c r="R273" s="25"/>
      <c r="S273" s="25"/>
      <c r="T273" s="25"/>
      <c r="U273" s="25"/>
      <c r="V273" s="25"/>
      <c r="W273" s="28"/>
      <c r="X273" s="124" t="s">
        <v>503</v>
      </c>
    </row>
    <row r="274" spans="1:24" s="162" customFormat="1" ht="21.95" hidden="1" customHeight="1">
      <c r="A274" s="110" t="s">
        <v>571</v>
      </c>
      <c r="B274" s="110" t="s">
        <v>576</v>
      </c>
      <c r="C274" s="110" t="str">
        <f t="shared" si="37"/>
        <v>PVC 박스C/T 4각</v>
      </c>
      <c r="D274" s="99" t="s">
        <v>419</v>
      </c>
      <c r="E274" s="475">
        <f t="shared" si="38"/>
        <v>931</v>
      </c>
      <c r="F274" s="122"/>
      <c r="G274" s="475"/>
      <c r="H274" s="26">
        <v>1110</v>
      </c>
      <c r="I274" s="27">
        <v>931</v>
      </c>
      <c r="J274" s="24"/>
      <c r="K274" s="27"/>
      <c r="L274" s="122"/>
      <c r="M274" s="475"/>
      <c r="N274" s="475"/>
      <c r="O274" s="23"/>
      <c r="P274" s="25"/>
      <c r="Q274" s="25"/>
      <c r="R274" s="25"/>
      <c r="S274" s="25"/>
      <c r="T274" s="25"/>
      <c r="U274" s="25"/>
      <c r="V274" s="25"/>
      <c r="W274" s="28"/>
      <c r="X274" s="124"/>
    </row>
    <row r="275" spans="1:24" s="162" customFormat="1" ht="21.95" hidden="1" customHeight="1">
      <c r="A275" s="110" t="s">
        <v>571</v>
      </c>
      <c r="B275" s="110" t="s">
        <v>577</v>
      </c>
      <c r="C275" s="110" t="str">
        <f t="shared" si="37"/>
        <v>PVC 박스C/T 8각</v>
      </c>
      <c r="D275" s="99" t="s">
        <v>419</v>
      </c>
      <c r="E275" s="475">
        <f t="shared" si="38"/>
        <v>837</v>
      </c>
      <c r="F275" s="122"/>
      <c r="G275" s="475"/>
      <c r="H275" s="26">
        <v>1110</v>
      </c>
      <c r="I275" s="27">
        <v>837</v>
      </c>
      <c r="J275" s="24"/>
      <c r="K275" s="27"/>
      <c r="L275" s="122"/>
      <c r="M275" s="475"/>
      <c r="N275" s="475"/>
      <c r="O275" s="23"/>
      <c r="P275" s="25"/>
      <c r="Q275" s="25"/>
      <c r="R275" s="25"/>
      <c r="S275" s="25"/>
      <c r="T275" s="25"/>
      <c r="U275" s="25"/>
      <c r="V275" s="25"/>
      <c r="W275" s="28"/>
      <c r="X275" s="124"/>
    </row>
    <row r="276" spans="1:24" s="162" customFormat="1" ht="21.95" hidden="1" customHeight="1">
      <c r="A276" s="110" t="s">
        <v>571</v>
      </c>
      <c r="B276" s="110" t="s">
        <v>578</v>
      </c>
      <c r="C276" s="110" t="str">
        <f t="shared" si="37"/>
        <v>PVC 박스O/L 4각</v>
      </c>
      <c r="D276" s="99" t="s">
        <v>419</v>
      </c>
      <c r="E276" s="475">
        <f t="shared" si="38"/>
        <v>762</v>
      </c>
      <c r="F276" s="122"/>
      <c r="G276" s="475"/>
      <c r="H276" s="26">
        <v>1110</v>
      </c>
      <c r="I276" s="27">
        <v>762</v>
      </c>
      <c r="J276" s="24"/>
      <c r="K276" s="27"/>
      <c r="L276" s="122"/>
      <c r="M276" s="475"/>
      <c r="N276" s="475"/>
      <c r="O276" s="23"/>
      <c r="P276" s="25"/>
      <c r="Q276" s="25"/>
      <c r="R276" s="25"/>
      <c r="S276" s="25"/>
      <c r="T276" s="25"/>
      <c r="U276" s="25"/>
      <c r="V276" s="25"/>
      <c r="W276" s="28"/>
      <c r="X276" s="124"/>
    </row>
    <row r="277" spans="1:24" s="162" customFormat="1" ht="21.95" hidden="1" customHeight="1">
      <c r="A277" s="110" t="s">
        <v>571</v>
      </c>
      <c r="B277" s="110" t="s">
        <v>579</v>
      </c>
      <c r="C277" s="110" t="str">
        <f t="shared" si="37"/>
        <v>PVC 박스S/W 1개용</v>
      </c>
      <c r="D277" s="99" t="s">
        <v>419</v>
      </c>
      <c r="E277" s="475">
        <f t="shared" si="38"/>
        <v>512</v>
      </c>
      <c r="F277" s="122"/>
      <c r="G277" s="475"/>
      <c r="H277" s="26">
        <v>1110</v>
      </c>
      <c r="I277" s="27">
        <v>512</v>
      </c>
      <c r="J277" s="24"/>
      <c r="K277" s="27"/>
      <c r="L277" s="122"/>
      <c r="M277" s="475"/>
      <c r="N277" s="475"/>
      <c r="O277" s="23"/>
      <c r="P277" s="25"/>
      <c r="Q277" s="25"/>
      <c r="R277" s="25"/>
      <c r="S277" s="25"/>
      <c r="T277" s="25"/>
      <c r="U277" s="25"/>
      <c r="V277" s="25"/>
      <c r="W277" s="28"/>
      <c r="X277" s="124"/>
    </row>
    <row r="278" spans="1:24" s="162" customFormat="1" ht="21.95" hidden="1" customHeight="1">
      <c r="A278" s="110" t="s">
        <v>573</v>
      </c>
      <c r="B278" s="110" t="s">
        <v>574</v>
      </c>
      <c r="C278" s="110" t="str">
        <f t="shared" si="37"/>
        <v>BOX COVER오목형</v>
      </c>
      <c r="D278" s="99" t="s">
        <v>572</v>
      </c>
      <c r="E278" s="475">
        <f t="shared" si="38"/>
        <v>443</v>
      </c>
      <c r="F278" s="122"/>
      <c r="G278" s="475"/>
      <c r="H278" s="26">
        <v>1110</v>
      </c>
      <c r="I278" s="27">
        <v>443</v>
      </c>
      <c r="J278" s="24" t="s">
        <v>729</v>
      </c>
      <c r="K278" s="27">
        <v>448</v>
      </c>
      <c r="L278" s="122"/>
      <c r="M278" s="475"/>
      <c r="N278" s="475"/>
      <c r="O278" s="23"/>
      <c r="P278" s="25"/>
      <c r="Q278" s="25"/>
      <c r="R278" s="25"/>
      <c r="S278" s="25"/>
      <c r="T278" s="25"/>
      <c r="U278" s="25"/>
      <c r="V278" s="25"/>
      <c r="W278" s="28"/>
      <c r="X278" s="124"/>
    </row>
    <row r="279" spans="1:24" s="162" customFormat="1" ht="21.95" hidden="1" customHeight="1">
      <c r="A279" s="110" t="s">
        <v>723</v>
      </c>
      <c r="B279" s="110" t="s">
        <v>1728</v>
      </c>
      <c r="C279" s="110" t="str">
        <f t="shared" si="37"/>
        <v>콘크리트박스(아연도)O/L 4각</v>
      </c>
      <c r="D279" s="99" t="s">
        <v>419</v>
      </c>
      <c r="E279" s="475">
        <f t="shared" si="38"/>
        <v>1224</v>
      </c>
      <c r="F279" s="99"/>
      <c r="G279" s="475">
        <v>1224</v>
      </c>
      <c r="H279" s="26">
        <v>1105</v>
      </c>
      <c r="I279" s="27">
        <v>1320</v>
      </c>
      <c r="J279" s="24">
        <v>1205</v>
      </c>
      <c r="K279" s="27">
        <v>1455</v>
      </c>
      <c r="L279" s="122"/>
      <c r="M279" s="475"/>
      <c r="N279" s="475"/>
      <c r="O279" s="23"/>
      <c r="P279" s="25"/>
      <c r="Q279" s="25"/>
      <c r="R279" s="25"/>
      <c r="S279" s="25"/>
      <c r="T279" s="25"/>
      <c r="U279" s="25"/>
      <c r="V279" s="25"/>
      <c r="W279" s="28"/>
      <c r="X279" s="124" t="s">
        <v>503</v>
      </c>
    </row>
    <row r="280" spans="1:24" s="162" customFormat="1" ht="21.95" customHeight="1">
      <c r="A280" s="110" t="s">
        <v>725</v>
      </c>
      <c r="B280" s="110" t="s">
        <v>726</v>
      </c>
      <c r="C280" s="110" t="str">
        <f t="shared" ref="C280:C296" si="39">A280&amp;B280</f>
        <v>스위치박스(아연도)54mm 1개용</v>
      </c>
      <c r="D280" s="99" t="s">
        <v>419</v>
      </c>
      <c r="E280" s="475">
        <f t="shared" si="38"/>
        <v>1003</v>
      </c>
      <c r="F280" s="122"/>
      <c r="G280" s="475">
        <v>1003</v>
      </c>
      <c r="H280" s="23">
        <v>1105</v>
      </c>
      <c r="I280" s="475">
        <v>1050</v>
      </c>
      <c r="J280" s="24">
        <v>1207</v>
      </c>
      <c r="K280" s="475">
        <v>1215</v>
      </c>
      <c r="L280" s="122"/>
      <c r="M280" s="475"/>
      <c r="N280" s="475"/>
      <c r="O280" s="23"/>
      <c r="P280" s="25"/>
      <c r="Q280" s="25"/>
      <c r="R280" s="25"/>
      <c r="S280" s="25"/>
      <c r="T280" s="25"/>
      <c r="U280" s="25"/>
      <c r="V280" s="25"/>
      <c r="W280" s="28"/>
      <c r="X280" s="124"/>
    </row>
    <row r="281" spans="1:24" s="162" customFormat="1" ht="21.95" customHeight="1">
      <c r="A281" s="110" t="s">
        <v>723</v>
      </c>
      <c r="B281" s="110" t="s">
        <v>724</v>
      </c>
      <c r="C281" s="110" t="str">
        <f t="shared" si="39"/>
        <v>콘크리트박스(아연도)54mm 8각</v>
      </c>
      <c r="D281" s="99" t="s">
        <v>419</v>
      </c>
      <c r="E281" s="475">
        <f t="shared" si="38"/>
        <v>928</v>
      </c>
      <c r="F281" s="122"/>
      <c r="G281" s="475">
        <v>928</v>
      </c>
      <c r="H281" s="23">
        <v>1105</v>
      </c>
      <c r="I281" s="475">
        <v>3270</v>
      </c>
      <c r="J281" s="24">
        <v>1207</v>
      </c>
      <c r="K281" s="475">
        <v>1188</v>
      </c>
      <c r="L281" s="122"/>
      <c r="M281" s="475"/>
      <c r="N281" s="475"/>
      <c r="O281" s="23"/>
      <c r="P281" s="25"/>
      <c r="Q281" s="25"/>
      <c r="R281" s="25"/>
      <c r="S281" s="25"/>
      <c r="T281" s="25"/>
      <c r="U281" s="25"/>
      <c r="V281" s="25"/>
      <c r="W281" s="28"/>
      <c r="X281" s="124"/>
    </row>
    <row r="282" spans="1:24" s="162" customFormat="1" ht="21.95" hidden="1" customHeight="1">
      <c r="A282" s="110" t="s">
        <v>723</v>
      </c>
      <c r="B282" s="110" t="s">
        <v>728</v>
      </c>
      <c r="C282" s="110" t="str">
        <f t="shared" si="39"/>
        <v>콘크리트박스(아연도)54mm 4각</v>
      </c>
      <c r="D282" s="99" t="s">
        <v>419</v>
      </c>
      <c r="E282" s="475">
        <f t="shared" si="38"/>
        <v>1114</v>
      </c>
      <c r="F282" s="122"/>
      <c r="G282" s="475">
        <v>1114</v>
      </c>
      <c r="H282" s="26">
        <v>1105</v>
      </c>
      <c r="I282" s="27">
        <v>3390</v>
      </c>
      <c r="J282" s="24">
        <v>1205</v>
      </c>
      <c r="K282" s="27">
        <v>1346</v>
      </c>
      <c r="L282" s="122"/>
      <c r="M282" s="475"/>
      <c r="N282" s="475"/>
      <c r="O282" s="23"/>
      <c r="P282" s="25"/>
      <c r="Q282" s="25"/>
      <c r="R282" s="25"/>
      <c r="S282" s="25"/>
      <c r="T282" s="25"/>
      <c r="U282" s="25"/>
      <c r="V282" s="25"/>
      <c r="W282" s="28"/>
      <c r="X282" s="124"/>
    </row>
    <row r="283" spans="1:24" s="162" customFormat="1" ht="21.95" hidden="1" customHeight="1">
      <c r="A283" s="110" t="s">
        <v>1302</v>
      </c>
      <c r="B283" s="110" t="s">
        <v>579</v>
      </c>
      <c r="C283" s="110" t="str">
        <f t="shared" si="39"/>
        <v>노출형 PVC BOXS/W 1개용</v>
      </c>
      <c r="D283" s="99" t="s">
        <v>419</v>
      </c>
      <c r="E283" s="475">
        <f>MIN(G283,I283,K283,L283,M283)</f>
        <v>700</v>
      </c>
      <c r="F283" s="99"/>
      <c r="G283" s="475"/>
      <c r="H283" s="496">
        <v>1110</v>
      </c>
      <c r="I283" s="27">
        <v>700</v>
      </c>
      <c r="J283" s="24"/>
      <c r="K283" s="27"/>
      <c r="L283" s="122"/>
      <c r="M283" s="475"/>
      <c r="N283" s="475"/>
      <c r="O283" s="23"/>
      <c r="P283" s="25"/>
      <c r="Q283" s="25"/>
      <c r="R283" s="25"/>
      <c r="S283" s="25"/>
      <c r="T283" s="25"/>
      <c r="U283" s="25"/>
      <c r="V283" s="25"/>
      <c r="W283" s="28"/>
      <c r="X283" s="124" t="s">
        <v>503</v>
      </c>
    </row>
    <row r="284" spans="1:24" s="162" customFormat="1" ht="21.95" hidden="1" customHeight="1">
      <c r="A284" s="110" t="s">
        <v>395</v>
      </c>
      <c r="B284" s="110" t="s">
        <v>877</v>
      </c>
      <c r="C284" s="110" t="str">
        <f t="shared" si="39"/>
        <v>노출스위치박스1개용 16mm-1방출</v>
      </c>
      <c r="D284" s="99" t="s">
        <v>419</v>
      </c>
      <c r="E284" s="475">
        <f t="shared" ref="E284:E294" si="40">MIN(G284,I284,K284,L284,M284)</f>
        <v>2240</v>
      </c>
      <c r="F284" s="99"/>
      <c r="G284" s="475">
        <v>2240</v>
      </c>
      <c r="H284" s="26"/>
      <c r="I284" s="29"/>
      <c r="J284" s="24" t="s">
        <v>1207</v>
      </c>
      <c r="K284" s="29">
        <v>2657</v>
      </c>
      <c r="L284" s="122"/>
      <c r="M284" s="475"/>
      <c r="N284" s="475"/>
      <c r="O284" s="23"/>
      <c r="P284" s="25"/>
      <c r="Q284" s="25"/>
      <c r="R284" s="25"/>
      <c r="S284" s="25"/>
      <c r="T284" s="25"/>
      <c r="U284" s="25"/>
      <c r="V284" s="25"/>
      <c r="W284" s="28"/>
      <c r="X284" s="124" t="s">
        <v>503</v>
      </c>
    </row>
    <row r="285" spans="1:24" s="162" customFormat="1" ht="21.95" hidden="1" customHeight="1">
      <c r="A285" s="110" t="s">
        <v>395</v>
      </c>
      <c r="B285" s="110" t="s">
        <v>1266</v>
      </c>
      <c r="C285" s="110" t="str">
        <f>A285&amp;B285</f>
        <v>노출스위치박스1개용 22mm-1방출</v>
      </c>
      <c r="D285" s="99" t="s">
        <v>419</v>
      </c>
      <c r="E285" s="475">
        <f>MIN(G285,I285,K285,L285,M285)</f>
        <v>2620</v>
      </c>
      <c r="F285" s="99"/>
      <c r="G285" s="475">
        <v>2620</v>
      </c>
      <c r="H285" s="26"/>
      <c r="I285" s="29"/>
      <c r="J285" s="24" t="s">
        <v>1207</v>
      </c>
      <c r="K285" s="29">
        <v>2898</v>
      </c>
      <c r="L285" s="122"/>
      <c r="M285" s="475"/>
      <c r="N285" s="475"/>
      <c r="O285" s="23"/>
      <c r="P285" s="25"/>
      <c r="Q285" s="25"/>
      <c r="R285" s="25"/>
      <c r="S285" s="25"/>
      <c r="T285" s="25"/>
      <c r="U285" s="25"/>
      <c r="V285" s="25"/>
      <c r="W285" s="28"/>
      <c r="X285" s="124" t="s">
        <v>503</v>
      </c>
    </row>
    <row r="286" spans="1:24" s="162" customFormat="1" ht="21.95" hidden="1" customHeight="1">
      <c r="A286" s="110" t="s">
        <v>395</v>
      </c>
      <c r="B286" s="110" t="s">
        <v>1267</v>
      </c>
      <c r="C286" s="110" t="str">
        <f>A286&amp;B286</f>
        <v>노출스위치박스1개용 28mm-1방출</v>
      </c>
      <c r="D286" s="99" t="s">
        <v>419</v>
      </c>
      <c r="E286" s="475">
        <f>MIN(G286,I286,K286,L286,M286)</f>
        <v>4490</v>
      </c>
      <c r="F286" s="99"/>
      <c r="G286" s="475">
        <v>4490</v>
      </c>
      <c r="H286" s="26"/>
      <c r="I286" s="29"/>
      <c r="J286" s="24" t="s">
        <v>1207</v>
      </c>
      <c r="K286" s="29">
        <v>4669</v>
      </c>
      <c r="L286" s="122"/>
      <c r="M286" s="475"/>
      <c r="N286" s="475"/>
      <c r="O286" s="23"/>
      <c r="P286" s="25"/>
      <c r="Q286" s="25"/>
      <c r="R286" s="25"/>
      <c r="S286" s="25"/>
      <c r="T286" s="25"/>
      <c r="U286" s="25"/>
      <c r="V286" s="25"/>
      <c r="W286" s="28"/>
      <c r="X286" s="124" t="s">
        <v>503</v>
      </c>
    </row>
    <row r="287" spans="1:24" s="162" customFormat="1" ht="21.95" hidden="1" customHeight="1">
      <c r="A287" s="110" t="s">
        <v>395</v>
      </c>
      <c r="B287" s="110" t="s">
        <v>1171</v>
      </c>
      <c r="C287" s="110" t="str">
        <f>A287&amp;B287</f>
        <v>노출스위치박스2개용 22mm-1방출</v>
      </c>
      <c r="D287" s="99" t="s">
        <v>419</v>
      </c>
      <c r="E287" s="475">
        <f>MIN(G287,I287,K287,L287,M287)</f>
        <v>3623</v>
      </c>
      <c r="F287" s="99"/>
      <c r="G287" s="475"/>
      <c r="H287" s="26" t="s">
        <v>1286</v>
      </c>
      <c r="I287" s="29">
        <v>3623</v>
      </c>
      <c r="J287" s="24" t="s">
        <v>1207</v>
      </c>
      <c r="K287" s="29">
        <v>3623</v>
      </c>
      <c r="L287" s="122"/>
      <c r="M287" s="475"/>
      <c r="N287" s="475"/>
      <c r="O287" s="23"/>
      <c r="P287" s="25"/>
      <c r="Q287" s="25"/>
      <c r="R287" s="25"/>
      <c r="S287" s="25"/>
      <c r="T287" s="25"/>
      <c r="U287" s="25"/>
      <c r="V287" s="25"/>
      <c r="W287" s="28"/>
      <c r="X287" s="124" t="s">
        <v>503</v>
      </c>
    </row>
    <row r="288" spans="1:24" s="162" customFormat="1" ht="21.95" hidden="1" customHeight="1">
      <c r="A288" s="110" t="s">
        <v>887</v>
      </c>
      <c r="B288" s="110" t="s">
        <v>888</v>
      </c>
      <c r="C288" s="110" t="str">
        <f t="shared" si="39"/>
        <v>각몰드12.5x6.15mm(1호)</v>
      </c>
      <c r="D288" s="99" t="s">
        <v>407</v>
      </c>
      <c r="E288" s="475">
        <f t="shared" si="40"/>
        <v>450</v>
      </c>
      <c r="F288" s="122"/>
      <c r="G288" s="475"/>
      <c r="H288" s="26"/>
      <c r="I288" s="27"/>
      <c r="J288" s="24" t="s">
        <v>889</v>
      </c>
      <c r="K288" s="27">
        <v>450</v>
      </c>
      <c r="L288" s="122"/>
      <c r="M288" s="475"/>
      <c r="N288" s="475"/>
      <c r="O288" s="23"/>
      <c r="P288" s="25"/>
      <c r="Q288" s="25"/>
      <c r="R288" s="25"/>
      <c r="S288" s="25"/>
      <c r="T288" s="25"/>
      <c r="U288" s="25"/>
      <c r="V288" s="25"/>
      <c r="W288" s="28"/>
      <c r="X288" s="124"/>
    </row>
    <row r="289" spans="1:24" s="162" customFormat="1" ht="21.95" hidden="1" customHeight="1">
      <c r="A289" s="110" t="s">
        <v>1461</v>
      </c>
      <c r="B289" s="110" t="s">
        <v>1463</v>
      </c>
      <c r="C289" s="110" t="str">
        <f>A289&amp;B289</f>
        <v>AL DUCTW:50xH:35</v>
      </c>
      <c r="D289" s="99" t="s">
        <v>407</v>
      </c>
      <c r="E289" s="475">
        <f>MIN(G289,I289,K289,L289,M289)</f>
        <v>5040</v>
      </c>
      <c r="F289" s="122"/>
      <c r="G289" s="475">
        <v>5040</v>
      </c>
      <c r="H289" s="26">
        <v>1106</v>
      </c>
      <c r="I289" s="27">
        <v>6500</v>
      </c>
      <c r="J289" s="24" t="s">
        <v>1462</v>
      </c>
      <c r="K289" s="27">
        <v>8000</v>
      </c>
      <c r="L289" s="122"/>
      <c r="M289" s="475"/>
      <c r="N289" s="475"/>
      <c r="O289" s="23"/>
      <c r="P289" s="25"/>
      <c r="Q289" s="25"/>
      <c r="R289" s="25"/>
      <c r="S289" s="25"/>
      <c r="T289" s="25"/>
      <c r="U289" s="25"/>
      <c r="V289" s="25"/>
      <c r="W289" s="28"/>
      <c r="X289" s="124"/>
    </row>
    <row r="290" spans="1:24" s="162" customFormat="1" ht="21.95" hidden="1" customHeight="1">
      <c r="A290" s="110" t="s">
        <v>453</v>
      </c>
      <c r="B290" s="110" t="s">
        <v>1682</v>
      </c>
      <c r="C290" s="110" t="str">
        <f t="shared" si="39"/>
        <v>PVC BOX(철카바)O/L 4각(2개용)</v>
      </c>
      <c r="D290" s="99" t="s">
        <v>407</v>
      </c>
      <c r="E290" s="475">
        <f t="shared" si="40"/>
        <v>1100</v>
      </c>
      <c r="F290" s="122"/>
      <c r="G290" s="475">
        <v>1100</v>
      </c>
      <c r="H290" s="26"/>
      <c r="I290" s="27"/>
      <c r="J290" s="24"/>
      <c r="K290" s="27"/>
      <c r="L290" s="122"/>
      <c r="M290" s="475"/>
      <c r="N290" s="475"/>
      <c r="O290" s="23"/>
      <c r="P290" s="25"/>
      <c r="Q290" s="25"/>
      <c r="R290" s="25"/>
      <c r="S290" s="25"/>
      <c r="T290" s="25"/>
      <c r="U290" s="25"/>
      <c r="V290" s="25"/>
      <c r="W290" s="28"/>
      <c r="X290" s="124"/>
    </row>
    <row r="291" spans="1:24" s="162" customFormat="1" ht="21.95" hidden="1" customHeight="1">
      <c r="A291" s="110" t="s">
        <v>104</v>
      </c>
      <c r="B291" s="110" t="s">
        <v>396</v>
      </c>
      <c r="C291" s="110" t="str">
        <f t="shared" si="39"/>
        <v>COVERW150xH100</v>
      </c>
      <c r="D291" s="99" t="s">
        <v>407</v>
      </c>
      <c r="E291" s="475">
        <f t="shared" si="40"/>
        <v>7430</v>
      </c>
      <c r="F291" s="122"/>
      <c r="G291" s="475"/>
      <c r="H291" s="26">
        <v>1118</v>
      </c>
      <c r="I291" s="27">
        <v>7430</v>
      </c>
      <c r="J291" s="24" t="s">
        <v>907</v>
      </c>
      <c r="K291" s="27">
        <v>7440</v>
      </c>
      <c r="L291" s="122"/>
      <c r="M291" s="475"/>
      <c r="N291" s="475"/>
      <c r="O291" s="23"/>
      <c r="P291" s="25"/>
      <c r="Q291" s="25"/>
      <c r="R291" s="25"/>
      <c r="S291" s="25"/>
      <c r="T291" s="25"/>
      <c r="U291" s="25"/>
      <c r="V291" s="25"/>
      <c r="W291" s="28"/>
      <c r="X291" s="124"/>
    </row>
    <row r="292" spans="1:24" s="162" customFormat="1" ht="21.95" hidden="1" customHeight="1">
      <c r="A292" s="110" t="s">
        <v>0</v>
      </c>
      <c r="B292" s="110" t="s">
        <v>396</v>
      </c>
      <c r="C292" s="110" t="str">
        <f t="shared" si="39"/>
        <v>H/ELBOWW150xH100</v>
      </c>
      <c r="D292" s="99" t="s">
        <v>419</v>
      </c>
      <c r="E292" s="475">
        <f t="shared" si="40"/>
        <v>8788</v>
      </c>
      <c r="F292" s="122"/>
      <c r="G292" s="475">
        <v>8788</v>
      </c>
      <c r="H292" s="26">
        <v>1122</v>
      </c>
      <c r="I292" s="27">
        <v>9060</v>
      </c>
      <c r="J292" s="24" t="s">
        <v>839</v>
      </c>
      <c r="K292" s="27">
        <v>12160</v>
      </c>
      <c r="L292" s="122"/>
      <c r="M292" s="475"/>
      <c r="N292" s="475"/>
      <c r="O292" s="23"/>
      <c r="P292" s="25"/>
      <c r="Q292" s="25"/>
      <c r="R292" s="25"/>
      <c r="S292" s="25"/>
      <c r="T292" s="25"/>
      <c r="U292" s="25"/>
      <c r="V292" s="25"/>
      <c r="W292" s="28"/>
      <c r="X292" s="124"/>
    </row>
    <row r="293" spans="1:24" s="162" customFormat="1" ht="21.95" hidden="1" customHeight="1">
      <c r="A293" s="110" t="s">
        <v>106</v>
      </c>
      <c r="B293" s="110" t="s">
        <v>396</v>
      </c>
      <c r="C293" s="110" t="str">
        <f t="shared" si="39"/>
        <v>V/ELBOWW150xH100</v>
      </c>
      <c r="D293" s="99" t="s">
        <v>419</v>
      </c>
      <c r="E293" s="475">
        <f t="shared" si="40"/>
        <v>9206</v>
      </c>
      <c r="F293" s="122"/>
      <c r="G293" s="475">
        <v>9206</v>
      </c>
      <c r="H293" s="26">
        <v>1122</v>
      </c>
      <c r="I293" s="27">
        <v>9490</v>
      </c>
      <c r="J293" s="24" t="s">
        <v>839</v>
      </c>
      <c r="K293" s="27">
        <v>11410</v>
      </c>
      <c r="L293" s="122"/>
      <c r="M293" s="475"/>
      <c r="N293" s="475"/>
      <c r="O293" s="23"/>
      <c r="P293" s="25"/>
      <c r="Q293" s="25"/>
      <c r="R293" s="25"/>
      <c r="S293" s="25"/>
      <c r="T293" s="25"/>
      <c r="U293" s="25"/>
      <c r="V293" s="25"/>
      <c r="W293" s="28"/>
      <c r="X293" s="124"/>
    </row>
    <row r="294" spans="1:24" s="162" customFormat="1" ht="21.95" hidden="1" customHeight="1">
      <c r="A294" s="110" t="s">
        <v>108</v>
      </c>
      <c r="B294" s="110" t="s">
        <v>396</v>
      </c>
      <c r="C294" s="110" t="str">
        <f t="shared" si="39"/>
        <v>H/TEEW150xH100</v>
      </c>
      <c r="D294" s="99" t="s">
        <v>419</v>
      </c>
      <c r="E294" s="475">
        <f t="shared" si="40"/>
        <v>15520</v>
      </c>
      <c r="F294" s="122"/>
      <c r="G294" s="475">
        <v>15520</v>
      </c>
      <c r="H294" s="26">
        <v>1122</v>
      </c>
      <c r="I294" s="27">
        <v>17170</v>
      </c>
      <c r="J294" s="24" t="s">
        <v>839</v>
      </c>
      <c r="K294" s="27">
        <v>21100</v>
      </c>
      <c r="L294" s="122"/>
      <c r="M294" s="475"/>
      <c r="N294" s="475"/>
      <c r="O294" s="23"/>
      <c r="P294" s="25"/>
      <c r="Q294" s="25"/>
      <c r="R294" s="25"/>
      <c r="S294" s="25"/>
      <c r="T294" s="25"/>
      <c r="U294" s="25"/>
      <c r="V294" s="25"/>
      <c r="W294" s="28"/>
      <c r="X294" s="124"/>
    </row>
    <row r="295" spans="1:24" s="162" customFormat="1" ht="21.95" hidden="1" customHeight="1">
      <c r="A295" s="110" t="s">
        <v>733</v>
      </c>
      <c r="B295" s="110" t="s">
        <v>103</v>
      </c>
      <c r="C295" s="110" t="str">
        <f t="shared" si="39"/>
        <v>CABLE TRAYW200xH100x2.3t</v>
      </c>
      <c r="D295" s="99" t="s">
        <v>407</v>
      </c>
      <c r="E295" s="475">
        <f t="shared" ref="E295:E310" si="41">MIN(G295,I295,K295,L295,M295)</f>
        <v>8650</v>
      </c>
      <c r="F295" s="99"/>
      <c r="G295" s="475">
        <v>8650</v>
      </c>
      <c r="H295" s="26">
        <v>1117</v>
      </c>
      <c r="I295" s="27">
        <v>11510</v>
      </c>
      <c r="J295" s="24" t="s">
        <v>1182</v>
      </c>
      <c r="K295" s="27">
        <v>10420</v>
      </c>
      <c r="L295" s="122"/>
      <c r="M295" s="475"/>
      <c r="N295" s="475"/>
      <c r="O295" s="23"/>
      <c r="P295" s="25"/>
      <c r="Q295" s="25"/>
      <c r="R295" s="25"/>
      <c r="S295" s="25"/>
      <c r="T295" s="25"/>
      <c r="U295" s="25"/>
      <c r="V295" s="25"/>
      <c r="W295" s="28"/>
      <c r="X295" s="124"/>
    </row>
    <row r="296" spans="1:24" s="162" customFormat="1" ht="21.95" hidden="1" customHeight="1">
      <c r="A296" s="110" t="s">
        <v>104</v>
      </c>
      <c r="B296" s="110" t="s">
        <v>107</v>
      </c>
      <c r="C296" s="110" t="str">
        <f t="shared" si="39"/>
        <v>COVERW200xH100</v>
      </c>
      <c r="D296" s="99" t="s">
        <v>407</v>
      </c>
      <c r="E296" s="475">
        <f t="shared" si="41"/>
        <v>8400</v>
      </c>
      <c r="F296" s="99"/>
      <c r="G296" s="475"/>
      <c r="H296" s="26">
        <v>1117</v>
      </c>
      <c r="I296" s="27">
        <v>12270</v>
      </c>
      <c r="J296" s="24" t="s">
        <v>1144</v>
      </c>
      <c r="K296" s="27">
        <v>8400</v>
      </c>
      <c r="L296" s="122"/>
      <c r="M296" s="475"/>
      <c r="N296" s="475"/>
      <c r="O296" s="23"/>
      <c r="P296" s="25"/>
      <c r="Q296" s="25"/>
      <c r="R296" s="25"/>
      <c r="S296" s="25"/>
      <c r="T296" s="25"/>
      <c r="U296" s="25"/>
      <c r="V296" s="25"/>
      <c r="W296" s="28"/>
      <c r="X296" s="124"/>
    </row>
    <row r="297" spans="1:24" s="162" customFormat="1" ht="21.75" hidden="1" customHeight="1">
      <c r="A297" s="123" t="s">
        <v>1674</v>
      </c>
      <c r="B297" s="123" t="s">
        <v>1677</v>
      </c>
      <c r="C297" s="110" t="str">
        <f t="shared" ref="C297:C310" si="42">A297&amp;B297</f>
        <v>HOR,ELBOWW500 x H100 x 2.3T</v>
      </c>
      <c r="D297" s="99" t="s">
        <v>419</v>
      </c>
      <c r="E297" s="475">
        <f t="shared" si="41"/>
        <v>21954</v>
      </c>
      <c r="F297" s="99"/>
      <c r="G297" s="475">
        <v>21954</v>
      </c>
      <c r="H297" s="26"/>
      <c r="I297" s="27"/>
      <c r="J297" s="24"/>
      <c r="K297" s="27"/>
      <c r="L297" s="122"/>
      <c r="M297" s="475"/>
      <c r="N297" s="475"/>
      <c r="O297" s="23"/>
      <c r="P297" s="25"/>
      <c r="Q297" s="25"/>
      <c r="R297" s="25"/>
      <c r="S297" s="25"/>
      <c r="T297" s="25"/>
      <c r="U297" s="25"/>
      <c r="V297" s="25"/>
      <c r="W297" s="28"/>
      <c r="X297" s="124"/>
    </row>
    <row r="298" spans="1:24" s="162" customFormat="1" ht="21.95" hidden="1" customHeight="1">
      <c r="A298" s="123" t="s">
        <v>1676</v>
      </c>
      <c r="B298" s="123" t="s">
        <v>1677</v>
      </c>
      <c r="C298" s="110" t="str">
        <f t="shared" si="42"/>
        <v>HOR,TEEW500 x H100 x 2.3T</v>
      </c>
      <c r="D298" s="99" t="s">
        <v>419</v>
      </c>
      <c r="E298" s="475">
        <f t="shared" si="41"/>
        <v>33851</v>
      </c>
      <c r="F298" s="99"/>
      <c r="G298" s="475">
        <v>33851</v>
      </c>
      <c r="H298" s="26"/>
      <c r="I298" s="27"/>
      <c r="J298" s="24"/>
      <c r="K298" s="27"/>
      <c r="L298" s="122"/>
      <c r="M298" s="475"/>
      <c r="N298" s="475"/>
      <c r="O298" s="23"/>
      <c r="P298" s="25"/>
      <c r="Q298" s="25"/>
      <c r="R298" s="25"/>
      <c r="S298" s="25"/>
      <c r="T298" s="25"/>
      <c r="U298" s="25"/>
      <c r="V298" s="25"/>
      <c r="W298" s="28"/>
      <c r="X298" s="124"/>
    </row>
    <row r="299" spans="1:24" s="162" customFormat="1" ht="21.95" hidden="1" customHeight="1">
      <c r="A299" s="110" t="s">
        <v>1678</v>
      </c>
      <c r="B299" s="123" t="s">
        <v>1677</v>
      </c>
      <c r="C299" s="110" t="str">
        <f t="shared" si="42"/>
        <v>VER,ELBOWW500 x H100 x 2.3T</v>
      </c>
      <c r="D299" s="99" t="s">
        <v>419</v>
      </c>
      <c r="E299" s="475">
        <f t="shared" si="41"/>
        <v>21959</v>
      </c>
      <c r="F299" s="99"/>
      <c r="G299" s="475">
        <v>21959</v>
      </c>
      <c r="H299" s="26"/>
      <c r="I299" s="27"/>
      <c r="J299" s="24"/>
      <c r="K299" s="27"/>
      <c r="L299" s="122"/>
      <c r="M299" s="475"/>
      <c r="N299" s="475"/>
      <c r="O299" s="23"/>
      <c r="P299" s="25"/>
      <c r="Q299" s="25"/>
      <c r="R299" s="25"/>
      <c r="S299" s="25"/>
      <c r="T299" s="25"/>
      <c r="U299" s="25"/>
      <c r="V299" s="25"/>
      <c r="W299" s="28"/>
      <c r="X299" s="124"/>
    </row>
    <row r="300" spans="1:24" s="162" customFormat="1" ht="21.95" hidden="1" customHeight="1">
      <c r="A300" s="110" t="s">
        <v>1053</v>
      </c>
      <c r="B300" s="110" t="s">
        <v>107</v>
      </c>
      <c r="C300" s="110" t="str">
        <f t="shared" si="42"/>
        <v>H/CROSSW200xH100</v>
      </c>
      <c r="D300" s="99" t="s">
        <v>419</v>
      </c>
      <c r="E300" s="475">
        <f t="shared" si="41"/>
        <v>22446</v>
      </c>
      <c r="F300" s="99"/>
      <c r="G300" s="475">
        <v>22446</v>
      </c>
      <c r="H300" s="26">
        <v>1118</v>
      </c>
      <c r="I300" s="27">
        <v>34570</v>
      </c>
      <c r="J300" s="24" t="s">
        <v>1093</v>
      </c>
      <c r="K300" s="27">
        <v>26050</v>
      </c>
      <c r="L300" s="122"/>
      <c r="M300" s="475"/>
      <c r="N300" s="475"/>
      <c r="O300" s="23"/>
      <c r="P300" s="25"/>
      <c r="Q300" s="25"/>
      <c r="R300" s="25"/>
      <c r="S300" s="25"/>
      <c r="T300" s="25"/>
      <c r="U300" s="25"/>
      <c r="V300" s="25"/>
      <c r="W300" s="28"/>
      <c r="X300" s="124"/>
    </row>
    <row r="301" spans="1:24" s="162" customFormat="1" ht="21.95" hidden="1" customHeight="1">
      <c r="A301" s="123" t="s">
        <v>1674</v>
      </c>
      <c r="B301" s="123" t="s">
        <v>1675</v>
      </c>
      <c r="C301" s="110" t="str">
        <f t="shared" ref="C301:C305" si="43">A301&amp;B301</f>
        <v>HOR,ELBOWW300 x H100 x 2.3T</v>
      </c>
      <c r="D301" s="99" t="s">
        <v>407</v>
      </c>
      <c r="E301" s="475">
        <f t="shared" si="41"/>
        <v>17076</v>
      </c>
      <c r="F301" s="99"/>
      <c r="G301" s="27"/>
      <c r="H301" s="26">
        <v>1118</v>
      </c>
      <c r="I301" s="27">
        <v>17076</v>
      </c>
      <c r="J301" s="24">
        <v>1244</v>
      </c>
      <c r="K301" s="27">
        <v>20140</v>
      </c>
      <c r="L301" s="122"/>
      <c r="M301" s="475"/>
      <c r="N301" s="475"/>
      <c r="O301" s="23"/>
      <c r="P301" s="25"/>
      <c r="Q301" s="25"/>
      <c r="R301" s="25"/>
      <c r="S301" s="25"/>
      <c r="T301" s="25"/>
      <c r="U301" s="25"/>
      <c r="V301" s="25"/>
      <c r="W301" s="28"/>
      <c r="X301" s="124"/>
    </row>
    <row r="302" spans="1:24" s="162" customFormat="1" ht="21.95" hidden="1" customHeight="1">
      <c r="A302" s="123" t="s">
        <v>1676</v>
      </c>
      <c r="B302" s="123" t="s">
        <v>1675</v>
      </c>
      <c r="C302" s="110" t="str">
        <f t="shared" si="43"/>
        <v>HOR,TEEW300 x H100 x 2.3T</v>
      </c>
      <c r="D302" s="99" t="s">
        <v>407</v>
      </c>
      <c r="E302" s="475">
        <f>MIN(G302,I302,K302,L302,M302)</f>
        <v>27330</v>
      </c>
      <c r="F302" s="99"/>
      <c r="G302" s="475"/>
      <c r="H302" s="26">
        <v>1118</v>
      </c>
      <c r="I302" s="27">
        <v>27330</v>
      </c>
      <c r="J302" s="24">
        <v>1244</v>
      </c>
      <c r="K302" s="27">
        <v>29650</v>
      </c>
      <c r="L302" s="122"/>
      <c r="M302" s="475"/>
      <c r="N302" s="475"/>
      <c r="O302" s="23"/>
      <c r="P302" s="25"/>
      <c r="Q302" s="25"/>
      <c r="R302" s="25"/>
      <c r="S302" s="25"/>
      <c r="T302" s="25"/>
      <c r="U302" s="25"/>
      <c r="V302" s="25"/>
      <c r="W302" s="28"/>
      <c r="X302" s="124"/>
    </row>
    <row r="303" spans="1:24" s="162" customFormat="1" ht="21.95" hidden="1" customHeight="1">
      <c r="A303" s="123" t="s">
        <v>1228</v>
      </c>
      <c r="B303" s="110" t="s">
        <v>1289</v>
      </c>
      <c r="C303" s="110" t="str">
        <f t="shared" si="43"/>
        <v>케이블트레이W:150xH:100</v>
      </c>
      <c r="D303" s="99" t="s">
        <v>419</v>
      </c>
      <c r="E303" s="475">
        <f t="shared" ref="E303" si="44">MIN(G303,I303,K303,L303,M303)</f>
        <v>11887</v>
      </c>
      <c r="F303" s="122"/>
      <c r="G303" s="475">
        <v>11887</v>
      </c>
      <c r="H303" s="26">
        <v>1115</v>
      </c>
      <c r="I303" s="27">
        <v>20810</v>
      </c>
      <c r="J303" s="24">
        <v>1214</v>
      </c>
      <c r="K303" s="27">
        <v>19690</v>
      </c>
      <c r="L303" s="122"/>
      <c r="M303" s="475"/>
      <c r="N303" s="475"/>
      <c r="O303" s="23"/>
      <c r="P303" s="25"/>
      <c r="Q303" s="25"/>
      <c r="R303" s="25"/>
      <c r="S303" s="25"/>
      <c r="T303" s="25"/>
      <c r="U303" s="25"/>
      <c r="V303" s="25"/>
      <c r="W303" s="28"/>
      <c r="X303" s="124"/>
    </row>
    <row r="304" spans="1:24" s="162" customFormat="1" ht="21.95" hidden="1" customHeight="1">
      <c r="A304" s="123" t="s">
        <v>1674</v>
      </c>
      <c r="B304" s="123" t="s">
        <v>1734</v>
      </c>
      <c r="C304" s="110" t="str">
        <f t="shared" si="43"/>
        <v>HOR,ELBOWW150 x H100 x 2.3T</v>
      </c>
      <c r="D304" s="99" t="s">
        <v>118</v>
      </c>
      <c r="E304" s="475">
        <f t="shared" si="41"/>
        <v>11858</v>
      </c>
      <c r="F304" s="99"/>
      <c r="G304" s="475">
        <v>11858</v>
      </c>
      <c r="H304" s="26">
        <v>1115</v>
      </c>
      <c r="I304" s="27">
        <v>15260</v>
      </c>
      <c r="J304" s="24">
        <v>1214</v>
      </c>
      <c r="K304" s="27">
        <v>29140</v>
      </c>
      <c r="L304" s="122"/>
      <c r="M304" s="475"/>
      <c r="N304" s="475"/>
      <c r="O304" s="23"/>
      <c r="P304" s="25"/>
      <c r="Q304" s="25"/>
      <c r="R304" s="25"/>
      <c r="S304" s="25"/>
      <c r="T304" s="25"/>
      <c r="U304" s="25"/>
      <c r="V304" s="25"/>
      <c r="W304" s="28"/>
      <c r="X304" s="124"/>
    </row>
    <row r="305" spans="1:24" s="162" customFormat="1" ht="21.95" hidden="1" customHeight="1">
      <c r="A305" s="123" t="s">
        <v>1676</v>
      </c>
      <c r="B305" s="123" t="s">
        <v>1734</v>
      </c>
      <c r="C305" s="110" t="str">
        <f t="shared" si="43"/>
        <v>HOR,TEEW150 x H100 x 2.3T</v>
      </c>
      <c r="D305" s="99" t="s">
        <v>419</v>
      </c>
      <c r="E305" s="475">
        <f t="shared" si="41"/>
        <v>18576</v>
      </c>
      <c r="F305" s="99"/>
      <c r="G305" s="475">
        <v>18576</v>
      </c>
      <c r="H305" s="26">
        <v>1115</v>
      </c>
      <c r="I305" s="27">
        <v>24210</v>
      </c>
      <c r="J305" s="24">
        <v>1214</v>
      </c>
      <c r="K305" s="27">
        <v>44650</v>
      </c>
      <c r="L305" s="122"/>
      <c r="M305" s="475"/>
      <c r="N305" s="475"/>
      <c r="O305" s="23"/>
      <c r="P305" s="25"/>
      <c r="Q305" s="25"/>
      <c r="R305" s="25"/>
      <c r="S305" s="25"/>
      <c r="T305" s="25"/>
      <c r="U305" s="25"/>
      <c r="V305" s="25"/>
      <c r="W305" s="28"/>
      <c r="X305" s="124"/>
    </row>
    <row r="306" spans="1:24" s="162" customFormat="1" ht="21.95" customHeight="1">
      <c r="A306" s="110" t="s">
        <v>1228</v>
      </c>
      <c r="B306" s="110" t="s">
        <v>1737</v>
      </c>
      <c r="C306" s="110" t="str">
        <f t="shared" si="42"/>
        <v>케이블트레이W:300xH:100</v>
      </c>
      <c r="D306" s="99" t="s">
        <v>407</v>
      </c>
      <c r="E306" s="475">
        <f t="shared" si="41"/>
        <v>12650</v>
      </c>
      <c r="F306" s="99"/>
      <c r="G306" s="475">
        <v>12650</v>
      </c>
      <c r="H306" s="26">
        <v>1115</v>
      </c>
      <c r="I306" s="27">
        <v>20100</v>
      </c>
      <c r="J306" s="24">
        <v>1214</v>
      </c>
      <c r="K306" s="27">
        <v>25030</v>
      </c>
      <c r="L306" s="122"/>
      <c r="M306" s="475"/>
      <c r="N306" s="475"/>
      <c r="O306" s="23"/>
      <c r="P306" s="25"/>
      <c r="Q306" s="25"/>
      <c r="R306" s="25"/>
      <c r="S306" s="25"/>
      <c r="T306" s="25"/>
      <c r="U306" s="25"/>
      <c r="V306" s="25"/>
      <c r="W306" s="28"/>
      <c r="X306" s="124"/>
    </row>
    <row r="307" spans="1:24" s="525" customFormat="1" ht="21.95" hidden="1" customHeight="1">
      <c r="A307" s="528" t="s">
        <v>1228</v>
      </c>
      <c r="B307" s="528" t="s">
        <v>1736</v>
      </c>
      <c r="C307" s="528" t="str">
        <f t="shared" si="42"/>
        <v>케이블트레이COVER, W:150xH:100</v>
      </c>
      <c r="D307" s="489" t="s">
        <v>407</v>
      </c>
      <c r="E307" s="529">
        <f t="shared" si="41"/>
        <v>13990</v>
      </c>
      <c r="F307" s="489"/>
      <c r="G307" s="529"/>
      <c r="H307" s="530">
        <v>1115</v>
      </c>
      <c r="I307" s="529">
        <v>13990</v>
      </c>
      <c r="J307" s="532">
        <v>1214</v>
      </c>
      <c r="K307" s="529">
        <v>14060</v>
      </c>
      <c r="L307" s="533"/>
      <c r="M307" s="529"/>
      <c r="N307" s="529"/>
      <c r="O307" s="534"/>
      <c r="P307" s="522"/>
      <c r="Q307" s="522"/>
      <c r="R307" s="522"/>
      <c r="S307" s="522"/>
      <c r="T307" s="522"/>
      <c r="U307" s="522"/>
      <c r="V307" s="522"/>
      <c r="W307" s="523"/>
      <c r="X307" s="524"/>
    </row>
    <row r="308" spans="1:24" s="525" customFormat="1" ht="21.95" hidden="1" customHeight="1">
      <c r="A308" s="528" t="s">
        <v>1225</v>
      </c>
      <c r="B308" s="528" t="s">
        <v>1230</v>
      </c>
      <c r="C308" s="528" t="str">
        <f t="shared" si="42"/>
        <v>케이블트레이H/ELBOW, W:300xH:100</v>
      </c>
      <c r="D308" s="489" t="s">
        <v>118</v>
      </c>
      <c r="E308" s="529">
        <f t="shared" si="41"/>
        <v>11692</v>
      </c>
      <c r="F308" s="489"/>
      <c r="G308" s="529">
        <v>11692</v>
      </c>
      <c r="H308" s="530">
        <v>1123</v>
      </c>
      <c r="I308" s="531">
        <v>18230</v>
      </c>
      <c r="J308" s="532" t="s">
        <v>1308</v>
      </c>
      <c r="K308" s="531">
        <v>16740</v>
      </c>
      <c r="L308" s="533"/>
      <c r="M308" s="529"/>
      <c r="N308" s="529"/>
      <c r="O308" s="534"/>
      <c r="P308" s="522"/>
      <c r="Q308" s="522"/>
      <c r="R308" s="522"/>
      <c r="S308" s="522"/>
      <c r="T308" s="522"/>
      <c r="U308" s="522"/>
      <c r="V308" s="522"/>
      <c r="W308" s="523"/>
      <c r="X308" s="524"/>
    </row>
    <row r="309" spans="1:24" s="525" customFormat="1" ht="21.95" hidden="1" customHeight="1">
      <c r="A309" s="528" t="s">
        <v>1225</v>
      </c>
      <c r="B309" s="528" t="s">
        <v>1344</v>
      </c>
      <c r="C309" s="528" t="str">
        <f t="shared" si="42"/>
        <v>케이블트레이V/ELBOW, W:300xH:100</v>
      </c>
      <c r="D309" s="489" t="s">
        <v>118</v>
      </c>
      <c r="E309" s="529">
        <f t="shared" si="41"/>
        <v>10500</v>
      </c>
      <c r="F309" s="489"/>
      <c r="G309" s="529">
        <v>10500</v>
      </c>
      <c r="H309" s="530">
        <v>1122</v>
      </c>
      <c r="I309" s="531">
        <v>10850</v>
      </c>
      <c r="J309" s="532" t="s">
        <v>987</v>
      </c>
      <c r="K309" s="531">
        <v>16740</v>
      </c>
      <c r="L309" s="533"/>
      <c r="M309" s="529"/>
      <c r="N309" s="529"/>
      <c r="O309" s="534"/>
      <c r="P309" s="522"/>
      <c r="Q309" s="522"/>
      <c r="R309" s="522"/>
      <c r="S309" s="522"/>
      <c r="T309" s="522"/>
      <c r="U309" s="522"/>
      <c r="V309" s="522"/>
      <c r="W309" s="523"/>
      <c r="X309" s="524"/>
    </row>
    <row r="310" spans="1:24" s="525" customFormat="1" ht="21.95" hidden="1" customHeight="1">
      <c r="A310" s="528" t="s">
        <v>866</v>
      </c>
      <c r="B310" s="528" t="s">
        <v>105</v>
      </c>
      <c r="C310" s="528" t="str">
        <f t="shared" si="42"/>
        <v>H/TEEW300xH100</v>
      </c>
      <c r="D310" s="489" t="s">
        <v>118</v>
      </c>
      <c r="E310" s="529">
        <f t="shared" si="41"/>
        <v>18963</v>
      </c>
      <c r="F310" s="489"/>
      <c r="G310" s="529">
        <v>18963</v>
      </c>
      <c r="H310" s="530">
        <v>1122</v>
      </c>
      <c r="I310" s="531">
        <v>19930</v>
      </c>
      <c r="J310" s="532" t="s">
        <v>987</v>
      </c>
      <c r="K310" s="531">
        <v>20090</v>
      </c>
      <c r="L310" s="533"/>
      <c r="M310" s="529"/>
      <c r="N310" s="529"/>
      <c r="O310" s="534"/>
      <c r="P310" s="522"/>
      <c r="Q310" s="522"/>
      <c r="R310" s="522"/>
      <c r="S310" s="522"/>
      <c r="T310" s="522"/>
      <c r="U310" s="522"/>
      <c r="V310" s="522"/>
      <c r="W310" s="523"/>
      <c r="X310" s="524"/>
    </row>
    <row r="311" spans="1:24" s="525" customFormat="1" ht="21.95" hidden="1" customHeight="1">
      <c r="A311" s="528"/>
      <c r="B311" s="503"/>
      <c r="C311" s="528"/>
      <c r="D311" s="489"/>
      <c r="E311" s="529"/>
      <c r="F311" s="489"/>
      <c r="G311" s="529"/>
      <c r="H311" s="530"/>
      <c r="I311" s="531"/>
      <c r="J311" s="532"/>
      <c r="K311" s="531"/>
      <c r="L311" s="533"/>
      <c r="M311" s="529"/>
      <c r="N311" s="529"/>
      <c r="O311" s="534"/>
      <c r="P311" s="522"/>
      <c r="Q311" s="522"/>
      <c r="R311" s="522"/>
      <c r="S311" s="522"/>
      <c r="T311" s="522"/>
      <c r="U311" s="522"/>
      <c r="V311" s="522"/>
      <c r="W311" s="523"/>
      <c r="X311" s="524"/>
    </row>
    <row r="312" spans="1:24" s="525" customFormat="1" ht="21.95" hidden="1" customHeight="1">
      <c r="A312" s="528" t="s">
        <v>1228</v>
      </c>
      <c r="B312" s="528" t="s">
        <v>1307</v>
      </c>
      <c r="C312" s="528" t="str">
        <f t="shared" ref="C312:C331" si="45">A312&amp;B312</f>
        <v>케이블트레이W:450xH:100</v>
      </c>
      <c r="D312" s="489" t="s">
        <v>407</v>
      </c>
      <c r="E312" s="529">
        <f t="shared" ref="E312:E320" si="46">MIN(G312,I312,K312,L312,M312)</f>
        <v>8565</v>
      </c>
      <c r="F312" s="489"/>
      <c r="G312" s="529">
        <v>8565</v>
      </c>
      <c r="H312" s="530">
        <v>1122</v>
      </c>
      <c r="I312" s="531">
        <v>13180</v>
      </c>
      <c r="J312" s="532" t="s">
        <v>1308</v>
      </c>
      <c r="K312" s="531">
        <v>12300</v>
      </c>
      <c r="L312" s="533"/>
      <c r="M312" s="529"/>
      <c r="N312" s="529"/>
      <c r="O312" s="534"/>
      <c r="P312" s="522"/>
      <c r="Q312" s="522"/>
      <c r="R312" s="522"/>
      <c r="S312" s="522"/>
      <c r="T312" s="522"/>
      <c r="U312" s="522"/>
      <c r="V312" s="522"/>
      <c r="W312" s="523"/>
      <c r="X312" s="524"/>
    </row>
    <row r="313" spans="1:24" s="525" customFormat="1" ht="21.95" hidden="1" customHeight="1">
      <c r="A313" s="528" t="s">
        <v>104</v>
      </c>
      <c r="B313" s="528" t="s">
        <v>1139</v>
      </c>
      <c r="C313" s="528" t="str">
        <f t="shared" si="45"/>
        <v>COVERW450xH100</v>
      </c>
      <c r="D313" s="489" t="s">
        <v>407</v>
      </c>
      <c r="E313" s="529">
        <f t="shared" si="46"/>
        <v>17140</v>
      </c>
      <c r="F313" s="489"/>
      <c r="G313" s="529"/>
      <c r="H313" s="534">
        <v>1117</v>
      </c>
      <c r="I313" s="529">
        <v>22210</v>
      </c>
      <c r="J313" s="532" t="s">
        <v>1144</v>
      </c>
      <c r="K313" s="529">
        <v>17140</v>
      </c>
      <c r="L313" s="533"/>
      <c r="M313" s="529"/>
      <c r="N313" s="529"/>
      <c r="O313" s="534"/>
      <c r="P313" s="522"/>
      <c r="Q313" s="522"/>
      <c r="R313" s="522"/>
      <c r="S313" s="522"/>
      <c r="T313" s="522"/>
      <c r="U313" s="522"/>
      <c r="V313" s="522"/>
      <c r="W313" s="523"/>
      <c r="X313" s="524"/>
    </row>
    <row r="314" spans="1:24" s="525" customFormat="1" ht="21.95" hidden="1" customHeight="1">
      <c r="A314" s="528" t="s">
        <v>1228</v>
      </c>
      <c r="B314" s="528" t="s">
        <v>1304</v>
      </c>
      <c r="C314" s="528" t="str">
        <f t="shared" si="45"/>
        <v>케이블트레이H/ELBOW, W:450xH:100</v>
      </c>
      <c r="D314" s="489" t="s">
        <v>419</v>
      </c>
      <c r="E314" s="529">
        <f t="shared" si="46"/>
        <v>14697</v>
      </c>
      <c r="F314" s="489"/>
      <c r="G314" s="529">
        <v>14697</v>
      </c>
      <c r="H314" s="530">
        <v>1122</v>
      </c>
      <c r="I314" s="531">
        <v>19770</v>
      </c>
      <c r="J314" s="532" t="s">
        <v>1144</v>
      </c>
      <c r="K314" s="531">
        <v>18450</v>
      </c>
      <c r="L314" s="533"/>
      <c r="M314" s="529"/>
      <c r="N314" s="529"/>
      <c r="O314" s="534"/>
      <c r="P314" s="522"/>
      <c r="Q314" s="522"/>
      <c r="R314" s="522"/>
      <c r="S314" s="522"/>
      <c r="T314" s="522"/>
      <c r="U314" s="522"/>
      <c r="V314" s="522"/>
      <c r="W314" s="523"/>
      <c r="X314" s="524"/>
    </row>
    <row r="315" spans="1:24" s="525" customFormat="1" ht="21.95" hidden="1" customHeight="1">
      <c r="A315" s="528" t="s">
        <v>1228</v>
      </c>
      <c r="B315" s="528" t="s">
        <v>1305</v>
      </c>
      <c r="C315" s="528" t="str">
        <f>A315&amp;B315</f>
        <v>케이블트레이H/TEE, W:450xH:100</v>
      </c>
      <c r="D315" s="489" t="s">
        <v>419</v>
      </c>
      <c r="E315" s="529">
        <f>MIN(G315,I315,K315,L315,M315)</f>
        <v>22140</v>
      </c>
      <c r="F315" s="489"/>
      <c r="G315" s="529">
        <v>22549</v>
      </c>
      <c r="H315" s="530">
        <v>1123</v>
      </c>
      <c r="I315" s="531">
        <v>28480</v>
      </c>
      <c r="J315" s="532" t="s">
        <v>1312</v>
      </c>
      <c r="K315" s="531">
        <v>22140</v>
      </c>
      <c r="L315" s="533"/>
      <c r="M315" s="529"/>
      <c r="N315" s="529"/>
      <c r="O315" s="534"/>
      <c r="P315" s="522"/>
      <c r="Q315" s="522"/>
      <c r="R315" s="522"/>
      <c r="S315" s="522"/>
      <c r="T315" s="522"/>
      <c r="U315" s="522"/>
      <c r="V315" s="522"/>
      <c r="W315" s="523"/>
      <c r="X315" s="524"/>
    </row>
    <row r="316" spans="1:24" s="525" customFormat="1" ht="21.95" hidden="1" customHeight="1">
      <c r="A316" s="528" t="s">
        <v>1228</v>
      </c>
      <c r="B316" s="528" t="s">
        <v>1306</v>
      </c>
      <c r="C316" s="528" t="str">
        <f>A316&amp;B316</f>
        <v>케이블트레이REDUCER, W:450-200</v>
      </c>
      <c r="D316" s="489" t="s">
        <v>419</v>
      </c>
      <c r="E316" s="529">
        <f>MIN(G316,I316,K316,L316,M316)</f>
        <v>9917</v>
      </c>
      <c r="F316" s="489"/>
      <c r="G316" s="529">
        <v>9917</v>
      </c>
      <c r="H316" s="530"/>
      <c r="I316" s="531"/>
      <c r="J316" s="532" t="s">
        <v>1312</v>
      </c>
      <c r="K316" s="531">
        <v>22659</v>
      </c>
      <c r="L316" s="533"/>
      <c r="M316" s="529"/>
      <c r="N316" s="529"/>
      <c r="O316" s="534"/>
      <c r="P316" s="522"/>
      <c r="Q316" s="522"/>
      <c r="R316" s="522"/>
      <c r="S316" s="522"/>
      <c r="T316" s="522"/>
      <c r="U316" s="522"/>
      <c r="V316" s="522"/>
      <c r="W316" s="523"/>
      <c r="X316" s="524"/>
    </row>
    <row r="317" spans="1:24" s="525" customFormat="1" ht="21.95" hidden="1" customHeight="1">
      <c r="A317" s="528" t="s">
        <v>1225</v>
      </c>
      <c r="B317" s="528" t="s">
        <v>1226</v>
      </c>
      <c r="C317" s="528" t="str">
        <f t="shared" si="45"/>
        <v>케이블트레이W:600xH:100</v>
      </c>
      <c r="D317" s="489" t="s">
        <v>407</v>
      </c>
      <c r="E317" s="529">
        <f t="shared" si="46"/>
        <v>11075</v>
      </c>
      <c r="F317" s="489"/>
      <c r="G317" s="529">
        <v>11075</v>
      </c>
      <c r="H317" s="530">
        <v>1118</v>
      </c>
      <c r="I317" s="531">
        <v>15290</v>
      </c>
      <c r="J317" s="532" t="s">
        <v>1273</v>
      </c>
      <c r="K317" s="531">
        <v>14760</v>
      </c>
      <c r="L317" s="533"/>
      <c r="M317" s="529"/>
      <c r="N317" s="529"/>
      <c r="O317" s="534"/>
      <c r="P317" s="522"/>
      <c r="Q317" s="522"/>
      <c r="R317" s="522"/>
      <c r="S317" s="522"/>
      <c r="T317" s="522"/>
      <c r="U317" s="522"/>
      <c r="V317" s="522"/>
      <c r="W317" s="523"/>
      <c r="X317" s="524"/>
    </row>
    <row r="318" spans="1:24" s="525" customFormat="1" ht="21.95" hidden="1" customHeight="1">
      <c r="A318" s="528" t="s">
        <v>104</v>
      </c>
      <c r="B318" s="528" t="s">
        <v>1140</v>
      </c>
      <c r="C318" s="528" t="str">
        <f t="shared" si="45"/>
        <v>COVERW600xH100</v>
      </c>
      <c r="D318" s="489" t="s">
        <v>407</v>
      </c>
      <c r="E318" s="529">
        <f t="shared" si="46"/>
        <v>22390</v>
      </c>
      <c r="F318" s="489"/>
      <c r="G318" s="529"/>
      <c r="H318" s="530">
        <v>1117</v>
      </c>
      <c r="I318" s="531">
        <v>31720</v>
      </c>
      <c r="J318" s="532" t="s">
        <v>1144</v>
      </c>
      <c r="K318" s="531">
        <v>22390</v>
      </c>
      <c r="L318" s="533"/>
      <c r="M318" s="529"/>
      <c r="N318" s="529"/>
      <c r="O318" s="534"/>
      <c r="P318" s="522"/>
      <c r="Q318" s="522"/>
      <c r="R318" s="522"/>
      <c r="S318" s="522"/>
      <c r="T318" s="522"/>
      <c r="U318" s="522"/>
      <c r="V318" s="522"/>
      <c r="W318" s="523"/>
      <c r="X318" s="524"/>
    </row>
    <row r="319" spans="1:24" s="525" customFormat="1" ht="21.75" hidden="1" customHeight="1">
      <c r="A319" s="528" t="s">
        <v>1225</v>
      </c>
      <c r="B319" s="528" t="s">
        <v>1231</v>
      </c>
      <c r="C319" s="528" t="str">
        <f t="shared" si="45"/>
        <v>케이블트레이H/ELBOW, W:600xH:100</v>
      </c>
      <c r="D319" s="489" t="s">
        <v>419</v>
      </c>
      <c r="E319" s="529">
        <f t="shared" si="46"/>
        <v>18227</v>
      </c>
      <c r="F319" s="489"/>
      <c r="G319" s="529">
        <v>18227</v>
      </c>
      <c r="H319" s="530">
        <v>1118</v>
      </c>
      <c r="I319" s="531">
        <v>28830</v>
      </c>
      <c r="J319" s="532" t="s">
        <v>1273</v>
      </c>
      <c r="K319" s="531">
        <v>22140</v>
      </c>
      <c r="L319" s="533"/>
      <c r="M319" s="529"/>
      <c r="N319" s="529"/>
      <c r="O319" s="534"/>
      <c r="P319" s="522"/>
      <c r="Q319" s="522"/>
      <c r="R319" s="522"/>
      <c r="S319" s="522"/>
      <c r="T319" s="522"/>
      <c r="U319" s="522"/>
      <c r="V319" s="522"/>
      <c r="W319" s="523"/>
      <c r="X319" s="524"/>
    </row>
    <row r="320" spans="1:24" s="525" customFormat="1" ht="21.95" hidden="1" customHeight="1">
      <c r="A320" s="528" t="s">
        <v>1225</v>
      </c>
      <c r="B320" s="528" t="s">
        <v>1232</v>
      </c>
      <c r="C320" s="528" t="str">
        <f t="shared" si="45"/>
        <v>케이블트레이H/TEE, W:600xH:100</v>
      </c>
      <c r="D320" s="489" t="s">
        <v>419</v>
      </c>
      <c r="E320" s="529">
        <f t="shared" si="46"/>
        <v>24951</v>
      </c>
      <c r="F320" s="489"/>
      <c r="G320" s="529">
        <v>24951</v>
      </c>
      <c r="H320" s="530">
        <v>1118</v>
      </c>
      <c r="I320" s="531">
        <v>46120</v>
      </c>
      <c r="J320" s="532" t="s">
        <v>1273</v>
      </c>
      <c r="K320" s="531">
        <v>26570</v>
      </c>
      <c r="L320" s="533"/>
      <c r="M320" s="529"/>
      <c r="N320" s="529"/>
      <c r="O320" s="534"/>
      <c r="P320" s="522"/>
      <c r="Q320" s="522"/>
      <c r="R320" s="522"/>
      <c r="S320" s="522"/>
      <c r="T320" s="522"/>
      <c r="U320" s="522"/>
      <c r="V320" s="522"/>
      <c r="W320" s="523"/>
      <c r="X320" s="524"/>
    </row>
    <row r="321" spans="1:24" s="525" customFormat="1" ht="21.95" hidden="1" customHeight="1">
      <c r="A321" s="528"/>
      <c r="B321" s="528"/>
      <c r="C321" s="528"/>
      <c r="D321" s="489"/>
      <c r="E321" s="529"/>
      <c r="F321" s="533"/>
      <c r="G321" s="529"/>
      <c r="H321" s="530"/>
      <c r="I321" s="531"/>
      <c r="J321" s="532"/>
      <c r="K321" s="531"/>
      <c r="L321" s="529"/>
      <c r="M321" s="529"/>
      <c r="N321" s="529"/>
      <c r="O321" s="534"/>
      <c r="P321" s="522"/>
      <c r="Q321" s="522"/>
      <c r="R321" s="522"/>
      <c r="S321" s="522"/>
      <c r="T321" s="522"/>
      <c r="U321" s="522"/>
      <c r="V321" s="522"/>
      <c r="W321" s="523"/>
      <c r="X321" s="524"/>
    </row>
    <row r="322" spans="1:24" s="525" customFormat="1" ht="21.95" hidden="1" customHeight="1">
      <c r="A322" s="528"/>
      <c r="B322" s="528"/>
      <c r="C322" s="528"/>
      <c r="D322" s="489"/>
      <c r="E322" s="529"/>
      <c r="F322" s="533"/>
      <c r="G322" s="529"/>
      <c r="H322" s="530"/>
      <c r="I322" s="531"/>
      <c r="J322" s="532"/>
      <c r="K322" s="531"/>
      <c r="L322" s="529"/>
      <c r="M322" s="529"/>
      <c r="N322" s="529"/>
      <c r="O322" s="534"/>
      <c r="P322" s="522"/>
      <c r="Q322" s="522"/>
      <c r="R322" s="522"/>
      <c r="S322" s="522"/>
      <c r="T322" s="522"/>
      <c r="U322" s="522"/>
      <c r="V322" s="522"/>
      <c r="W322" s="523"/>
      <c r="X322" s="524"/>
    </row>
    <row r="323" spans="1:24" s="525" customFormat="1" ht="21.95" hidden="1" customHeight="1">
      <c r="A323" s="528" t="s">
        <v>1317</v>
      </c>
      <c r="B323" s="528" t="s">
        <v>1289</v>
      </c>
      <c r="C323" s="528" t="str">
        <f>A323&amp;B323</f>
        <v>CABLE DUCT(W/COVER)W:150xH:100</v>
      </c>
      <c r="D323" s="489" t="s">
        <v>407</v>
      </c>
      <c r="E323" s="529">
        <f>MIN(G323,I323,K323,L323,M323)</f>
        <v>11000</v>
      </c>
      <c r="F323" s="489"/>
      <c r="G323" s="529">
        <v>11000</v>
      </c>
      <c r="H323" s="530">
        <v>1120</v>
      </c>
      <c r="I323" s="531">
        <f>13220+7640</f>
        <v>20860</v>
      </c>
      <c r="J323" s="532">
        <v>1244</v>
      </c>
      <c r="K323" s="531">
        <f>12370+6650</f>
        <v>19020</v>
      </c>
      <c r="L323" s="533"/>
      <c r="M323" s="529"/>
      <c r="N323" s="529"/>
      <c r="O323" s="534"/>
      <c r="P323" s="522"/>
      <c r="Q323" s="522"/>
      <c r="R323" s="522"/>
      <c r="S323" s="522"/>
      <c r="T323" s="522"/>
      <c r="U323" s="522"/>
      <c r="V323" s="522"/>
      <c r="W323" s="523"/>
      <c r="X323" s="524"/>
    </row>
    <row r="324" spans="1:24" s="525" customFormat="1" ht="21.95" hidden="1" customHeight="1">
      <c r="A324" s="528" t="s">
        <v>1317</v>
      </c>
      <c r="B324" s="528" t="s">
        <v>1318</v>
      </c>
      <c r="C324" s="528" t="str">
        <f>A324&amp;B324</f>
        <v>CABLE DUCT(W/COVER)V/ELBOW, W:150xH:100</v>
      </c>
      <c r="D324" s="489" t="s">
        <v>419</v>
      </c>
      <c r="E324" s="529">
        <f>MIN(G324,I324,K324,L324,M324)</f>
        <v>15425</v>
      </c>
      <c r="F324" s="489"/>
      <c r="G324" s="529">
        <v>15425</v>
      </c>
      <c r="H324" s="530">
        <v>1120</v>
      </c>
      <c r="I324" s="531">
        <f>16240+7570</f>
        <v>23810</v>
      </c>
      <c r="J324" s="532">
        <v>1244</v>
      </c>
      <c r="K324" s="531">
        <f>31160</f>
        <v>31160</v>
      </c>
      <c r="L324" s="533"/>
      <c r="M324" s="529"/>
      <c r="N324" s="529"/>
      <c r="O324" s="534"/>
      <c r="P324" s="522"/>
      <c r="Q324" s="522"/>
      <c r="R324" s="522"/>
      <c r="S324" s="522"/>
      <c r="T324" s="522"/>
      <c r="U324" s="522"/>
      <c r="V324" s="522"/>
      <c r="W324" s="523"/>
      <c r="X324" s="524"/>
    </row>
    <row r="325" spans="1:24" s="525" customFormat="1" ht="21.95" hidden="1" customHeight="1">
      <c r="A325" s="528" t="s">
        <v>1317</v>
      </c>
      <c r="B325" s="528" t="s">
        <v>1352</v>
      </c>
      <c r="C325" s="528" t="str">
        <f>A325&amp;B325</f>
        <v>CABLE DUCT(W/COVER)H/TEE, W:150xH:100</v>
      </c>
      <c r="D325" s="489" t="s">
        <v>419</v>
      </c>
      <c r="E325" s="529">
        <f>MIN(G325,I325,K325,L325,M325)</f>
        <v>27446</v>
      </c>
      <c r="F325" s="489"/>
      <c r="G325" s="529">
        <v>27446</v>
      </c>
      <c r="H325" s="530">
        <v>1120</v>
      </c>
      <c r="I325" s="531">
        <f>41230+26410</f>
        <v>67640</v>
      </c>
      <c r="J325" s="532">
        <v>1244</v>
      </c>
      <c r="K325" s="531">
        <f>44540</f>
        <v>44540</v>
      </c>
      <c r="L325" s="533"/>
      <c r="M325" s="529"/>
      <c r="N325" s="529"/>
      <c r="O325" s="534"/>
      <c r="P325" s="522"/>
      <c r="Q325" s="522"/>
      <c r="R325" s="522"/>
      <c r="S325" s="522"/>
      <c r="T325" s="522"/>
      <c r="U325" s="522"/>
      <c r="V325" s="522"/>
      <c r="W325" s="523"/>
      <c r="X325" s="524"/>
    </row>
    <row r="326" spans="1:24" s="525" customFormat="1" ht="21.95" hidden="1" customHeight="1">
      <c r="A326" s="396" t="s">
        <v>1315</v>
      </c>
      <c r="B326" s="396" t="s">
        <v>1330</v>
      </c>
      <c r="C326" s="528" t="str">
        <f>A326&amp;B326</f>
        <v>CABLE DUCT(W/COVER)W:200xH:100</v>
      </c>
      <c r="D326" s="489" t="s">
        <v>407</v>
      </c>
      <c r="E326" s="529">
        <f t="shared" ref="E326" si="47">MIN(G326,I326,K326,L326,M326)</f>
        <v>11190</v>
      </c>
      <c r="F326" s="489"/>
      <c r="G326" s="529">
        <v>11190</v>
      </c>
      <c r="H326" s="530">
        <v>1120</v>
      </c>
      <c r="I326" s="531">
        <f>16370+12420</f>
        <v>28790</v>
      </c>
      <c r="J326" s="532" t="s">
        <v>1343</v>
      </c>
      <c r="K326" s="531">
        <f>14190+8400</f>
        <v>22590</v>
      </c>
      <c r="L326" s="533"/>
      <c r="M326" s="529"/>
      <c r="N326" s="529"/>
      <c r="O326" s="534"/>
      <c r="P326" s="522"/>
      <c r="Q326" s="522"/>
      <c r="R326" s="522"/>
      <c r="S326" s="522"/>
      <c r="T326" s="522"/>
      <c r="U326" s="522"/>
      <c r="V326" s="522"/>
      <c r="W326" s="523"/>
      <c r="X326" s="524"/>
    </row>
    <row r="327" spans="1:24" s="525" customFormat="1" ht="21.95" hidden="1" customHeight="1">
      <c r="A327" s="396" t="s">
        <v>1315</v>
      </c>
      <c r="B327" s="396" t="s">
        <v>1332</v>
      </c>
      <c r="C327" s="528" t="str">
        <f>A327&amp;B327</f>
        <v>CABLE DUCT(W/COVER)H/ELBOW, W:200xH:100</v>
      </c>
      <c r="D327" s="489" t="s">
        <v>419</v>
      </c>
      <c r="E327" s="529">
        <f t="shared" ref="E327" si="48">MIN(G327,I327,K327,L327,M327)</f>
        <v>16808</v>
      </c>
      <c r="F327" s="489"/>
      <c r="G327" s="529">
        <v>16808</v>
      </c>
      <c r="H327" s="530">
        <v>1120</v>
      </c>
      <c r="I327" s="531">
        <f>19470+10040</f>
        <v>29510</v>
      </c>
      <c r="J327" s="532" t="s">
        <v>1343</v>
      </c>
      <c r="K327" s="531">
        <f>31260</f>
        <v>31260</v>
      </c>
      <c r="L327" s="533"/>
      <c r="M327" s="529"/>
      <c r="N327" s="529"/>
      <c r="O327" s="534"/>
      <c r="P327" s="522"/>
      <c r="Q327" s="522"/>
      <c r="R327" s="522"/>
      <c r="S327" s="522"/>
      <c r="T327" s="522"/>
      <c r="U327" s="522"/>
      <c r="V327" s="522"/>
      <c r="W327" s="523"/>
      <c r="X327" s="524"/>
    </row>
    <row r="328" spans="1:24" s="525" customFormat="1" ht="21.95" hidden="1" customHeight="1">
      <c r="A328" s="396" t="s">
        <v>1315</v>
      </c>
      <c r="B328" s="396" t="s">
        <v>1331</v>
      </c>
      <c r="C328" s="528" t="str">
        <f t="shared" ref="C328:C329" si="49">A328&amp;B328</f>
        <v>CABLE DUCT(W/COVER)V/ELBOW, W:200xH:100</v>
      </c>
      <c r="D328" s="489" t="s">
        <v>419</v>
      </c>
      <c r="E328" s="529">
        <f t="shared" ref="E328:E329" si="50">MIN(G328,I328,K328,L328,M328)</f>
        <v>16915</v>
      </c>
      <c r="F328" s="489"/>
      <c r="G328" s="529">
        <v>16915</v>
      </c>
      <c r="H328" s="530">
        <v>1120</v>
      </c>
      <c r="I328" s="531">
        <f>19470+10040</f>
        <v>29510</v>
      </c>
      <c r="J328" s="532" t="s">
        <v>1343</v>
      </c>
      <c r="K328" s="531">
        <v>31260</v>
      </c>
      <c r="L328" s="533"/>
      <c r="M328" s="529"/>
      <c r="N328" s="529"/>
      <c r="O328" s="534"/>
      <c r="P328" s="522"/>
      <c r="Q328" s="522"/>
      <c r="R328" s="522"/>
      <c r="S328" s="522"/>
      <c r="T328" s="522"/>
      <c r="U328" s="522"/>
      <c r="V328" s="522"/>
      <c r="W328" s="523"/>
      <c r="X328" s="524"/>
    </row>
    <row r="329" spans="1:24" s="525" customFormat="1" ht="21.95" hidden="1" customHeight="1">
      <c r="A329" s="396" t="s">
        <v>1315</v>
      </c>
      <c r="B329" s="396" t="s">
        <v>1333</v>
      </c>
      <c r="C329" s="528" t="str">
        <f t="shared" si="49"/>
        <v>CABLE DUCT(W/COVER)H/TEE, W:200xH:100</v>
      </c>
      <c r="D329" s="489" t="s">
        <v>419</v>
      </c>
      <c r="E329" s="529">
        <f t="shared" si="50"/>
        <v>32873</v>
      </c>
      <c r="F329" s="489"/>
      <c r="G329" s="529">
        <v>32873</v>
      </c>
      <c r="H329" s="530">
        <v>1120</v>
      </c>
      <c r="I329" s="531">
        <f>48360+30330</f>
        <v>78690</v>
      </c>
      <c r="J329" s="532" t="s">
        <v>1343</v>
      </c>
      <c r="K329" s="531">
        <v>51090</v>
      </c>
      <c r="L329" s="533"/>
      <c r="M329" s="529"/>
      <c r="N329" s="529"/>
      <c r="O329" s="534"/>
      <c r="P329" s="522"/>
      <c r="Q329" s="522"/>
      <c r="R329" s="522"/>
      <c r="S329" s="522"/>
      <c r="T329" s="522"/>
      <c r="U329" s="522"/>
      <c r="V329" s="522"/>
      <c r="W329" s="523"/>
      <c r="X329" s="524"/>
    </row>
    <row r="330" spans="1:24" s="162" customFormat="1" ht="21.95" customHeight="1">
      <c r="A330" s="110" t="s">
        <v>403</v>
      </c>
      <c r="B330" s="110" t="s">
        <v>985</v>
      </c>
      <c r="C330" s="110" t="str">
        <f t="shared" si="45"/>
        <v>JOINT CONNECTORSH100</v>
      </c>
      <c r="D330" s="99" t="s">
        <v>419</v>
      </c>
      <c r="E330" s="475">
        <f t="shared" ref="E330:E338" si="51">MIN(G330,I330,K330,L330,M330)</f>
        <v>999</v>
      </c>
      <c r="F330" s="122"/>
      <c r="G330" s="475">
        <v>999</v>
      </c>
      <c r="H330" s="26">
        <v>1123</v>
      </c>
      <c r="I330" s="27">
        <v>1200</v>
      </c>
      <c r="J330" s="24">
        <v>1244</v>
      </c>
      <c r="K330" s="27">
        <v>1000</v>
      </c>
      <c r="L330" s="475"/>
      <c r="M330" s="475"/>
      <c r="N330" s="475"/>
      <c r="O330" s="23"/>
      <c r="P330" s="25"/>
      <c r="Q330" s="25"/>
      <c r="R330" s="25"/>
      <c r="S330" s="25"/>
      <c r="T330" s="25"/>
      <c r="U330" s="25"/>
      <c r="V330" s="25"/>
      <c r="W330" s="28"/>
      <c r="X330" s="124"/>
    </row>
    <row r="331" spans="1:24" s="162" customFormat="1" ht="21.95" customHeight="1">
      <c r="A331" s="110" t="s">
        <v>1515</v>
      </c>
      <c r="B331" s="110" t="s">
        <v>1514</v>
      </c>
      <c r="C331" s="110" t="str">
        <f t="shared" si="45"/>
        <v>SHANK BOLT NUT아연도 3/8"</v>
      </c>
      <c r="D331" s="99" t="s">
        <v>419</v>
      </c>
      <c r="E331" s="475">
        <f t="shared" si="51"/>
        <v>76</v>
      </c>
      <c r="F331" s="99"/>
      <c r="G331" s="475">
        <v>76</v>
      </c>
      <c r="H331" s="26">
        <v>1123</v>
      </c>
      <c r="I331" s="27">
        <v>150</v>
      </c>
      <c r="J331" s="24">
        <v>1244</v>
      </c>
      <c r="K331" s="27">
        <v>100</v>
      </c>
      <c r="L331" s="122"/>
      <c r="M331" s="475"/>
      <c r="N331" s="475"/>
      <c r="O331" s="23"/>
      <c r="P331" s="25"/>
      <c r="Q331" s="25"/>
      <c r="R331" s="25"/>
      <c r="S331" s="25"/>
      <c r="T331" s="25"/>
      <c r="U331" s="25"/>
      <c r="V331" s="25"/>
      <c r="W331" s="28"/>
      <c r="X331" s="124"/>
    </row>
    <row r="332" spans="1:24" s="162" customFormat="1" ht="21.95" customHeight="1">
      <c r="A332" s="110" t="s">
        <v>111</v>
      </c>
      <c r="B332" s="110" t="s">
        <v>110</v>
      </c>
      <c r="C332" s="110" t="s">
        <v>112</v>
      </c>
      <c r="D332" s="99" t="s">
        <v>419</v>
      </c>
      <c r="E332" s="475">
        <f t="shared" si="51"/>
        <v>3200</v>
      </c>
      <c r="F332" s="99"/>
      <c r="G332" s="475">
        <v>3471</v>
      </c>
      <c r="H332" s="26">
        <v>1122</v>
      </c>
      <c r="I332" s="27">
        <v>3200</v>
      </c>
      <c r="J332" s="24">
        <v>1244</v>
      </c>
      <c r="K332" s="27">
        <v>3500</v>
      </c>
      <c r="L332" s="122"/>
      <c r="M332" s="475"/>
      <c r="N332" s="475"/>
      <c r="O332" s="23"/>
      <c r="P332" s="25"/>
      <c r="Q332" s="25"/>
      <c r="R332" s="25"/>
      <c r="S332" s="25"/>
      <c r="T332" s="25"/>
      <c r="U332" s="25"/>
      <c r="V332" s="25"/>
      <c r="W332" s="28"/>
      <c r="X332" s="124"/>
    </row>
    <row r="333" spans="1:24" s="162" customFormat="1" ht="21.95" customHeight="1">
      <c r="A333" s="110" t="s">
        <v>580</v>
      </c>
      <c r="B333" s="110">
        <v>0</v>
      </c>
      <c r="C333" s="110" t="str">
        <f t="shared" ref="C333:C338" si="52">A333&amp;B333</f>
        <v>HOLD DOWN CLAMP0</v>
      </c>
      <c r="D333" s="99" t="s">
        <v>419</v>
      </c>
      <c r="E333" s="475">
        <f t="shared" si="51"/>
        <v>360</v>
      </c>
      <c r="F333" s="99"/>
      <c r="G333" s="475">
        <v>373</v>
      </c>
      <c r="H333" s="26">
        <v>1120</v>
      </c>
      <c r="I333" s="27">
        <v>470</v>
      </c>
      <c r="J333" s="24">
        <v>1244</v>
      </c>
      <c r="K333" s="27">
        <v>360</v>
      </c>
      <c r="L333" s="122"/>
      <c r="M333" s="475"/>
      <c r="N333" s="475"/>
      <c r="O333" s="23"/>
      <c r="P333" s="25"/>
      <c r="Q333" s="25"/>
      <c r="R333" s="25"/>
      <c r="S333" s="25"/>
      <c r="T333" s="25"/>
      <c r="U333" s="25"/>
      <c r="V333" s="25"/>
      <c r="W333" s="28"/>
      <c r="X333" s="124"/>
    </row>
    <row r="334" spans="1:24" s="525" customFormat="1" ht="21.95" hidden="1" customHeight="1">
      <c r="A334" s="528" t="s">
        <v>1295</v>
      </c>
      <c r="B334" s="528" t="s">
        <v>396</v>
      </c>
      <c r="C334" s="528" t="str">
        <f t="shared" si="52"/>
        <v>케이블덕트(SUS)W150xH100</v>
      </c>
      <c r="D334" s="535" t="s">
        <v>407</v>
      </c>
      <c r="E334" s="529">
        <f t="shared" si="51"/>
        <v>103630</v>
      </c>
      <c r="F334" s="489"/>
      <c r="G334" s="529"/>
      <c r="H334" s="530"/>
      <c r="I334" s="531"/>
      <c r="J334" s="532"/>
      <c r="K334" s="531"/>
      <c r="L334" s="531">
        <f>69680+33950</f>
        <v>103630</v>
      </c>
      <c r="M334" s="529">
        <f>71680+35950</f>
        <v>107630</v>
      </c>
      <c r="N334" s="529">
        <f>71680+35950</f>
        <v>107630</v>
      </c>
      <c r="O334" s="534"/>
      <c r="P334" s="522"/>
      <c r="Q334" s="522"/>
      <c r="R334" s="522"/>
      <c r="S334" s="522"/>
      <c r="T334" s="522"/>
      <c r="U334" s="522"/>
      <c r="V334" s="522"/>
      <c r="W334" s="523"/>
      <c r="X334" s="524"/>
    </row>
    <row r="335" spans="1:24" s="525" customFormat="1" ht="21.95" hidden="1" customHeight="1">
      <c r="A335" s="528" t="s">
        <v>1295</v>
      </c>
      <c r="B335" s="528" t="s">
        <v>1290</v>
      </c>
      <c r="C335" s="528" t="str">
        <f t="shared" si="52"/>
        <v>케이블덕트(SUS)H/ELBOW, W150xH100</v>
      </c>
      <c r="D335" s="535" t="s">
        <v>419</v>
      </c>
      <c r="E335" s="529">
        <f t="shared" si="51"/>
        <v>155440</v>
      </c>
      <c r="F335" s="489"/>
      <c r="G335" s="529"/>
      <c r="H335" s="530"/>
      <c r="I335" s="531"/>
      <c r="J335" s="532"/>
      <c r="K335" s="531"/>
      <c r="L335" s="531">
        <f>104520+50920</f>
        <v>155440</v>
      </c>
      <c r="M335" s="529">
        <f>106520+52920</f>
        <v>159440</v>
      </c>
      <c r="N335" s="529">
        <f>52920+66110</f>
        <v>119030</v>
      </c>
      <c r="O335" s="534"/>
      <c r="P335" s="522"/>
      <c r="Q335" s="522"/>
      <c r="R335" s="522"/>
      <c r="S335" s="522"/>
      <c r="T335" s="522"/>
      <c r="U335" s="522"/>
      <c r="V335" s="522"/>
      <c r="W335" s="523"/>
      <c r="X335" s="524"/>
    </row>
    <row r="336" spans="1:24" s="525" customFormat="1" ht="21.95" hidden="1" customHeight="1">
      <c r="A336" s="528" t="s">
        <v>1295</v>
      </c>
      <c r="B336" s="528" t="s">
        <v>1291</v>
      </c>
      <c r="C336" s="528" t="str">
        <f t="shared" si="52"/>
        <v>케이블덕트(SUS)V/ELBOW, W150xH100</v>
      </c>
      <c r="D336" s="535" t="s">
        <v>419</v>
      </c>
      <c r="E336" s="529">
        <f t="shared" si="51"/>
        <v>155440</v>
      </c>
      <c r="F336" s="489"/>
      <c r="G336" s="529"/>
      <c r="H336" s="530"/>
      <c r="I336" s="531"/>
      <c r="J336" s="532"/>
      <c r="K336" s="531"/>
      <c r="L336" s="531">
        <f>104520+50920</f>
        <v>155440</v>
      </c>
      <c r="M336" s="529">
        <f>106520+52920</f>
        <v>159440</v>
      </c>
      <c r="N336" s="529">
        <f>52920+66110</f>
        <v>119030</v>
      </c>
      <c r="O336" s="534"/>
      <c r="P336" s="522"/>
      <c r="Q336" s="522"/>
      <c r="R336" s="522"/>
      <c r="S336" s="522"/>
      <c r="T336" s="522"/>
      <c r="U336" s="522"/>
      <c r="V336" s="522"/>
      <c r="W336" s="523"/>
      <c r="X336" s="524"/>
    </row>
    <row r="337" spans="1:34" s="525" customFormat="1" ht="21.95" hidden="1" customHeight="1">
      <c r="A337" s="528" t="s">
        <v>1295</v>
      </c>
      <c r="B337" s="528" t="s">
        <v>1292</v>
      </c>
      <c r="C337" s="528" t="str">
        <f t="shared" si="52"/>
        <v>케이블덕트(SUS)H/TEE, W150xH100</v>
      </c>
      <c r="D337" s="535" t="s">
        <v>419</v>
      </c>
      <c r="E337" s="529">
        <f t="shared" si="51"/>
        <v>241200</v>
      </c>
      <c r="F337" s="489"/>
      <c r="G337" s="529"/>
      <c r="H337" s="530"/>
      <c r="I337" s="531"/>
      <c r="J337" s="532"/>
      <c r="K337" s="531"/>
      <c r="L337" s="531">
        <f>139360+101840</f>
        <v>241200</v>
      </c>
      <c r="M337" s="529">
        <f>144360+103840</f>
        <v>248200</v>
      </c>
      <c r="N337" s="529">
        <f>140360+102850</f>
        <v>243210</v>
      </c>
      <c r="O337" s="534"/>
      <c r="P337" s="522"/>
      <c r="Q337" s="522"/>
      <c r="R337" s="522"/>
      <c r="S337" s="522"/>
      <c r="T337" s="522"/>
      <c r="U337" s="522"/>
      <c r="V337" s="522"/>
      <c r="W337" s="523"/>
      <c r="X337" s="524"/>
    </row>
    <row r="338" spans="1:34" s="525" customFormat="1" ht="21.95" hidden="1" customHeight="1">
      <c r="A338" s="528" t="s">
        <v>1295</v>
      </c>
      <c r="B338" s="528" t="s">
        <v>1294</v>
      </c>
      <c r="C338" s="528" t="str">
        <f t="shared" si="52"/>
        <v>케이블덕트(SUS)CONNECTOR, W:150xH:100</v>
      </c>
      <c r="D338" s="535" t="s">
        <v>419</v>
      </c>
      <c r="E338" s="529">
        <f t="shared" si="51"/>
        <v>9500</v>
      </c>
      <c r="F338" s="489"/>
      <c r="G338" s="529"/>
      <c r="H338" s="530"/>
      <c r="I338" s="531"/>
      <c r="J338" s="532"/>
      <c r="K338" s="531"/>
      <c r="L338" s="531">
        <v>9500</v>
      </c>
      <c r="M338" s="529">
        <v>11500</v>
      </c>
      <c r="N338" s="529">
        <v>9700</v>
      </c>
      <c r="O338" s="534"/>
      <c r="P338" s="522"/>
      <c r="Q338" s="522"/>
      <c r="R338" s="522"/>
      <c r="S338" s="522"/>
      <c r="T338" s="522"/>
      <c r="U338" s="522"/>
      <c r="V338" s="522"/>
      <c r="W338" s="523"/>
      <c r="X338" s="524"/>
    </row>
    <row r="339" spans="1:34" s="525" customFormat="1" ht="21.95" hidden="1" customHeight="1">
      <c r="A339" s="528" t="s">
        <v>1234</v>
      </c>
      <c r="B339" s="528" t="s">
        <v>1229</v>
      </c>
      <c r="C339" s="528" t="str">
        <f t="shared" ref="C339:C348" si="53">A339&amp;B339</f>
        <v>케이블덕트(SUS)W200xH100</v>
      </c>
      <c r="D339" s="535" t="s">
        <v>407</v>
      </c>
      <c r="E339" s="529">
        <f t="shared" ref="E339:E348" si="54">MIN(G339,I339,K339,L339,M339)</f>
        <v>121490</v>
      </c>
      <c r="F339" s="489"/>
      <c r="G339" s="529"/>
      <c r="H339" s="530"/>
      <c r="I339" s="531"/>
      <c r="J339" s="532"/>
      <c r="K339" s="531"/>
      <c r="L339" s="531">
        <f>78610+42880</f>
        <v>121490</v>
      </c>
      <c r="M339" s="529">
        <f>79850+73480</f>
        <v>153330</v>
      </c>
      <c r="N339" s="529">
        <f>80120+44230</f>
        <v>124350</v>
      </c>
      <c r="O339" s="534"/>
      <c r="P339" s="522"/>
      <c r="Q339" s="522"/>
      <c r="R339" s="522"/>
      <c r="S339" s="522"/>
      <c r="T339" s="522"/>
      <c r="U339" s="522"/>
      <c r="V339" s="522"/>
      <c r="W339" s="523"/>
      <c r="X339" s="524"/>
    </row>
    <row r="340" spans="1:34" s="525" customFormat="1" ht="21.95" hidden="1" customHeight="1">
      <c r="A340" s="528" t="s">
        <v>1234</v>
      </c>
      <c r="B340" s="528" t="s">
        <v>1235</v>
      </c>
      <c r="C340" s="528" t="str">
        <f t="shared" si="53"/>
        <v>케이블덕트(SUS)H/ELBOW, W200xH100</v>
      </c>
      <c r="D340" s="535" t="s">
        <v>419</v>
      </c>
      <c r="E340" s="529">
        <f t="shared" si="54"/>
        <v>182240</v>
      </c>
      <c r="F340" s="489"/>
      <c r="G340" s="529"/>
      <c r="H340" s="530"/>
      <c r="I340" s="531"/>
      <c r="J340" s="532"/>
      <c r="K340" s="531"/>
      <c r="L340" s="531">
        <f>117920+64320</f>
        <v>182240</v>
      </c>
      <c r="M340" s="529">
        <f>119120+65220</f>
        <v>184340</v>
      </c>
      <c r="N340" s="529">
        <f>119550+66110</f>
        <v>185660</v>
      </c>
      <c r="O340" s="534"/>
      <c r="P340" s="522"/>
      <c r="Q340" s="522"/>
      <c r="R340" s="522"/>
      <c r="S340" s="522"/>
      <c r="T340" s="522"/>
      <c r="U340" s="522"/>
      <c r="V340" s="522"/>
      <c r="W340" s="523"/>
      <c r="X340" s="524"/>
    </row>
    <row r="341" spans="1:34" s="525" customFormat="1" ht="21.95" hidden="1" customHeight="1">
      <c r="A341" s="528" t="s">
        <v>1234</v>
      </c>
      <c r="B341" s="528" t="s">
        <v>1236</v>
      </c>
      <c r="C341" s="528" t="str">
        <f t="shared" si="53"/>
        <v>케이블덕트(SUS)V/ELBOW, W200xH100</v>
      </c>
      <c r="D341" s="535" t="s">
        <v>419</v>
      </c>
      <c r="E341" s="529">
        <f t="shared" si="54"/>
        <v>182240</v>
      </c>
      <c r="F341" s="489"/>
      <c r="G341" s="529"/>
      <c r="H341" s="530"/>
      <c r="I341" s="531"/>
      <c r="J341" s="532"/>
      <c r="K341" s="531"/>
      <c r="L341" s="531">
        <f>117920+64320</f>
        <v>182240</v>
      </c>
      <c r="M341" s="529">
        <f>119120+65220</f>
        <v>184340</v>
      </c>
      <c r="N341" s="529">
        <f>119550+66110</f>
        <v>185660</v>
      </c>
      <c r="O341" s="534"/>
      <c r="P341" s="522"/>
      <c r="Q341" s="522"/>
      <c r="R341" s="522"/>
      <c r="S341" s="522"/>
      <c r="T341" s="522"/>
      <c r="U341" s="522"/>
      <c r="V341" s="522"/>
      <c r="W341" s="523"/>
      <c r="X341" s="524"/>
    </row>
    <row r="342" spans="1:34" s="525" customFormat="1" ht="21.95" hidden="1" customHeight="1">
      <c r="A342" s="528" t="s">
        <v>1234</v>
      </c>
      <c r="B342" s="528" t="s">
        <v>1237</v>
      </c>
      <c r="C342" s="528" t="str">
        <f t="shared" si="53"/>
        <v>케이블덕트(SUS)H/TEE, W200xH100</v>
      </c>
      <c r="D342" s="535" t="s">
        <v>419</v>
      </c>
      <c r="E342" s="529">
        <f t="shared" si="54"/>
        <v>242980</v>
      </c>
      <c r="F342" s="489"/>
      <c r="G342" s="529"/>
      <c r="H342" s="530"/>
      <c r="I342" s="531"/>
      <c r="J342" s="532"/>
      <c r="K342" s="531"/>
      <c r="L342" s="531">
        <f>157220+85760</f>
        <v>242980</v>
      </c>
      <c r="M342" s="529">
        <f>177220+87760</f>
        <v>264980</v>
      </c>
      <c r="N342" s="529">
        <f>159220+87760</f>
        <v>246980</v>
      </c>
      <c r="O342" s="534"/>
      <c r="P342" s="522"/>
      <c r="Q342" s="522"/>
      <c r="R342" s="522"/>
      <c r="S342" s="522"/>
      <c r="T342" s="522"/>
      <c r="U342" s="522"/>
      <c r="V342" s="522"/>
      <c r="W342" s="523"/>
      <c r="X342" s="524"/>
    </row>
    <row r="343" spans="1:34" s="525" customFormat="1" ht="21.95" hidden="1" customHeight="1">
      <c r="A343" s="528" t="s">
        <v>1234</v>
      </c>
      <c r="B343" s="528" t="s">
        <v>1238</v>
      </c>
      <c r="C343" s="528" t="str">
        <f t="shared" si="53"/>
        <v>케이블덕트(SUS)CONNECTOR, W:200xH:100</v>
      </c>
      <c r="D343" s="535" t="s">
        <v>419</v>
      </c>
      <c r="E343" s="529">
        <f t="shared" si="54"/>
        <v>10000</v>
      </c>
      <c r="F343" s="489"/>
      <c r="G343" s="529"/>
      <c r="H343" s="530"/>
      <c r="I343" s="531"/>
      <c r="J343" s="532"/>
      <c r="K343" s="531"/>
      <c r="L343" s="531">
        <v>10000</v>
      </c>
      <c r="M343" s="529">
        <v>10800</v>
      </c>
      <c r="N343" s="529">
        <v>10200</v>
      </c>
      <c r="O343" s="534"/>
      <c r="P343" s="522"/>
      <c r="Q343" s="522"/>
      <c r="R343" s="522"/>
      <c r="S343" s="522"/>
      <c r="T343" s="522"/>
      <c r="U343" s="522"/>
      <c r="V343" s="522"/>
      <c r="W343" s="523"/>
      <c r="X343" s="524"/>
    </row>
    <row r="344" spans="1:34" s="525" customFormat="1" ht="21.95" hidden="1" customHeight="1">
      <c r="A344" s="528" t="s">
        <v>1234</v>
      </c>
      <c r="B344" s="528" t="s">
        <v>1227</v>
      </c>
      <c r="C344" s="528" t="str">
        <f t="shared" si="53"/>
        <v>케이블덕트(SUS)W600xH100</v>
      </c>
      <c r="D344" s="535" t="s">
        <v>407</v>
      </c>
      <c r="E344" s="529">
        <f t="shared" si="54"/>
        <v>235530</v>
      </c>
      <c r="F344" s="489"/>
      <c r="G344" s="529"/>
      <c r="H344" s="530"/>
      <c r="I344" s="531"/>
      <c r="J344" s="532"/>
      <c r="K344" s="531"/>
      <c r="L344" s="531">
        <f>121050+114480</f>
        <v>235530</v>
      </c>
      <c r="M344" s="529">
        <f>140250+115680</f>
        <v>255930</v>
      </c>
      <c r="N344" s="529">
        <f>136750+116120</f>
        <v>252870</v>
      </c>
      <c r="O344" s="534"/>
      <c r="P344" s="522"/>
      <c r="Q344" s="522"/>
      <c r="R344" s="522"/>
      <c r="S344" s="522"/>
      <c r="T344" s="522"/>
      <c r="U344" s="522"/>
      <c r="V344" s="522"/>
      <c r="W344" s="523"/>
      <c r="X344" s="524"/>
    </row>
    <row r="345" spans="1:34" s="525" customFormat="1" ht="21.95" hidden="1" customHeight="1">
      <c r="A345" s="528" t="s">
        <v>1234</v>
      </c>
      <c r="B345" s="528" t="s">
        <v>1239</v>
      </c>
      <c r="C345" s="528" t="str">
        <f t="shared" si="53"/>
        <v>케이블덕트(SUS)H/ELBOW, W600xH100</v>
      </c>
      <c r="D345" s="535" t="s">
        <v>89</v>
      </c>
      <c r="E345" s="529">
        <f t="shared" si="54"/>
        <v>319690</v>
      </c>
      <c r="F345" s="489"/>
      <c r="G345" s="529"/>
      <c r="H345" s="530"/>
      <c r="I345" s="531"/>
      <c r="J345" s="532"/>
      <c r="K345" s="531"/>
      <c r="L345" s="531">
        <f>181570+138120</f>
        <v>319690</v>
      </c>
      <c r="M345" s="529">
        <f>210760+140150</f>
        <v>350910</v>
      </c>
      <c r="N345" s="529">
        <f>203120+140010</f>
        <v>343130</v>
      </c>
      <c r="O345" s="534"/>
      <c r="P345" s="522"/>
      <c r="Q345" s="522"/>
      <c r="R345" s="522"/>
      <c r="S345" s="522"/>
      <c r="T345" s="522"/>
      <c r="U345" s="522"/>
      <c r="V345" s="522"/>
      <c r="W345" s="523"/>
      <c r="X345" s="524"/>
    </row>
    <row r="346" spans="1:34" s="525" customFormat="1" ht="21.95" hidden="1" customHeight="1">
      <c r="A346" s="528" t="s">
        <v>1234</v>
      </c>
      <c r="B346" s="528" t="s">
        <v>1240</v>
      </c>
      <c r="C346" s="528" t="str">
        <f t="shared" si="53"/>
        <v>케이블덕트(SUS)V/ELBOW, W600xH100</v>
      </c>
      <c r="D346" s="535" t="s">
        <v>89</v>
      </c>
      <c r="E346" s="529">
        <f t="shared" si="54"/>
        <v>319690</v>
      </c>
      <c r="F346" s="489"/>
      <c r="G346" s="529"/>
      <c r="H346" s="530"/>
      <c r="I346" s="531"/>
      <c r="J346" s="532"/>
      <c r="K346" s="531"/>
      <c r="L346" s="531">
        <f>181570+138120</f>
        <v>319690</v>
      </c>
      <c r="M346" s="529">
        <f>210760+140150</f>
        <v>350910</v>
      </c>
      <c r="N346" s="529">
        <f>203120+140010</f>
        <v>343130</v>
      </c>
      <c r="O346" s="534"/>
      <c r="P346" s="522"/>
      <c r="Q346" s="522"/>
      <c r="R346" s="522"/>
      <c r="S346" s="522"/>
      <c r="T346" s="522"/>
      <c r="U346" s="522"/>
      <c r="V346" s="522"/>
      <c r="W346" s="523"/>
      <c r="X346" s="524"/>
    </row>
    <row r="347" spans="1:34" s="525" customFormat="1" ht="21.95" hidden="1" customHeight="1">
      <c r="A347" s="528" t="s">
        <v>1234</v>
      </c>
      <c r="B347" s="528" t="s">
        <v>1241</v>
      </c>
      <c r="C347" s="528" t="str">
        <f t="shared" si="53"/>
        <v>케이블덕트(SUS)CONNECTOR, W:600xH:100</v>
      </c>
      <c r="D347" s="535" t="s">
        <v>419</v>
      </c>
      <c r="E347" s="529">
        <f t="shared" si="54"/>
        <v>16000</v>
      </c>
      <c r="F347" s="489"/>
      <c r="G347" s="529"/>
      <c r="H347" s="530"/>
      <c r="I347" s="531"/>
      <c r="J347" s="532"/>
      <c r="K347" s="531"/>
      <c r="L347" s="531">
        <v>16000</v>
      </c>
      <c r="M347" s="529">
        <v>18500</v>
      </c>
      <c r="N347" s="529">
        <v>16200</v>
      </c>
      <c r="O347" s="534"/>
      <c r="P347" s="522"/>
      <c r="Q347" s="522"/>
      <c r="R347" s="522"/>
      <c r="S347" s="522"/>
      <c r="T347" s="522"/>
      <c r="U347" s="522"/>
      <c r="V347" s="522"/>
      <c r="W347" s="523"/>
      <c r="X347" s="524"/>
    </row>
    <row r="348" spans="1:34" s="525" customFormat="1" ht="21.95" hidden="1" customHeight="1">
      <c r="A348" s="528" t="s">
        <v>1233</v>
      </c>
      <c r="B348" s="528" t="s">
        <v>1242</v>
      </c>
      <c r="C348" s="528" t="str">
        <f t="shared" si="53"/>
        <v>SHANK BOLT &amp; NUTSTS 3/8"</v>
      </c>
      <c r="D348" s="535" t="s">
        <v>419</v>
      </c>
      <c r="E348" s="529">
        <f t="shared" si="54"/>
        <v>285</v>
      </c>
      <c r="F348" s="489"/>
      <c r="G348" s="529">
        <v>285</v>
      </c>
      <c r="H348" s="530"/>
      <c r="I348" s="531"/>
      <c r="J348" s="532" t="s">
        <v>1274</v>
      </c>
      <c r="K348" s="531">
        <v>310</v>
      </c>
      <c r="L348" s="529">
        <v>610</v>
      </c>
      <c r="M348" s="529">
        <v>570</v>
      </c>
      <c r="N348" s="529">
        <v>600</v>
      </c>
      <c r="O348" s="534"/>
      <c r="P348" s="522"/>
      <c r="Q348" s="522"/>
      <c r="R348" s="522"/>
      <c r="S348" s="522"/>
      <c r="T348" s="522"/>
      <c r="U348" s="522"/>
      <c r="V348" s="522"/>
      <c r="W348" s="523"/>
      <c r="X348" s="524"/>
    </row>
    <row r="349" spans="1:34" s="525" customFormat="1" ht="21.95" hidden="1" customHeight="1">
      <c r="A349" s="536" t="s">
        <v>109</v>
      </c>
      <c r="B349" s="528" t="s">
        <v>1293</v>
      </c>
      <c r="C349" s="528" t="str">
        <f>A349&amp;B349</f>
        <v>높이조절형TRAY지지대W150</v>
      </c>
      <c r="D349" s="489" t="s">
        <v>419</v>
      </c>
      <c r="E349" s="529">
        <f t="shared" ref="E349:E389" si="55">MIN(G349,I349,K349,L349,M349)</f>
        <v>13000</v>
      </c>
      <c r="F349" s="489"/>
      <c r="G349" s="529"/>
      <c r="H349" s="530"/>
      <c r="I349" s="531"/>
      <c r="J349" s="532"/>
      <c r="K349" s="531"/>
      <c r="L349" s="531">
        <v>13000</v>
      </c>
      <c r="M349" s="529">
        <v>14000</v>
      </c>
      <c r="N349" s="529">
        <v>15000</v>
      </c>
      <c r="O349" s="534"/>
      <c r="P349" s="522"/>
      <c r="Q349" s="522"/>
      <c r="R349" s="522"/>
      <c r="S349" s="522"/>
      <c r="T349" s="522"/>
      <c r="U349" s="522"/>
      <c r="V349" s="522"/>
      <c r="W349" s="523"/>
      <c r="X349" s="524"/>
    </row>
    <row r="350" spans="1:34" s="525" customFormat="1" ht="21.95" hidden="1" customHeight="1">
      <c r="A350" s="536" t="s">
        <v>109</v>
      </c>
      <c r="B350" s="536" t="s">
        <v>1014</v>
      </c>
      <c r="C350" s="528" t="str">
        <f>A350&amp;B350</f>
        <v>높이조절형TRAY지지대W300</v>
      </c>
      <c r="D350" s="489" t="s">
        <v>419</v>
      </c>
      <c r="E350" s="529">
        <f t="shared" si="55"/>
        <v>13000</v>
      </c>
      <c r="F350" s="489"/>
      <c r="G350" s="529"/>
      <c r="H350" s="530"/>
      <c r="I350" s="531"/>
      <c r="J350" s="532"/>
      <c r="K350" s="531"/>
      <c r="L350" s="531">
        <v>13000</v>
      </c>
      <c r="M350" s="529">
        <v>14000</v>
      </c>
      <c r="N350" s="529">
        <v>15000</v>
      </c>
      <c r="O350" s="534"/>
      <c r="P350" s="522"/>
      <c r="Q350" s="522"/>
      <c r="R350" s="522"/>
      <c r="S350" s="522"/>
      <c r="T350" s="522"/>
      <c r="U350" s="522"/>
      <c r="V350" s="522"/>
      <c r="W350" s="523"/>
      <c r="X350" s="524"/>
    </row>
    <row r="351" spans="1:34" s="540" customFormat="1" ht="21.95" hidden="1" customHeight="1">
      <c r="A351" s="528" t="s">
        <v>249</v>
      </c>
      <c r="B351" s="528" t="s">
        <v>398</v>
      </c>
      <c r="C351" s="528" t="str">
        <f>A351&amp;B351</f>
        <v>방화격벽W150</v>
      </c>
      <c r="D351" s="489" t="s">
        <v>474</v>
      </c>
      <c r="E351" s="529">
        <f t="shared" si="55"/>
        <v>27600</v>
      </c>
      <c r="F351" s="533"/>
      <c r="G351" s="537"/>
      <c r="H351" s="533"/>
      <c r="I351" s="537"/>
      <c r="J351" s="532" t="s">
        <v>399</v>
      </c>
      <c r="K351" s="529">
        <v>27600</v>
      </c>
      <c r="L351" s="529"/>
      <c r="M351" s="529"/>
      <c r="N351" s="529"/>
      <c r="O351" s="534"/>
      <c r="P351" s="522"/>
      <c r="Q351" s="522"/>
      <c r="R351" s="522"/>
      <c r="S351" s="522"/>
      <c r="T351" s="522"/>
      <c r="U351" s="522"/>
      <c r="V351" s="522"/>
      <c r="W351" s="522"/>
      <c r="X351" s="538"/>
      <c r="Y351" s="539"/>
      <c r="Z351" s="525"/>
      <c r="AA351" s="525"/>
      <c r="AB351" s="525"/>
      <c r="AC351" s="525"/>
      <c r="AD351" s="525"/>
      <c r="AE351" s="525"/>
      <c r="AG351" s="533"/>
      <c r="AH351" s="537" t="s">
        <v>252</v>
      </c>
    </row>
    <row r="352" spans="1:34" s="540" customFormat="1" ht="21.95" hidden="1" customHeight="1">
      <c r="A352" s="528" t="s">
        <v>249</v>
      </c>
      <c r="B352" s="528" t="s">
        <v>250</v>
      </c>
      <c r="C352" s="528" t="str">
        <f>A352&amp;B352</f>
        <v>방화격벽W300</v>
      </c>
      <c r="D352" s="489" t="s">
        <v>251</v>
      </c>
      <c r="E352" s="529">
        <f t="shared" si="55"/>
        <v>54720</v>
      </c>
      <c r="F352" s="533"/>
      <c r="G352" s="537"/>
      <c r="H352" s="533"/>
      <c r="I352" s="537"/>
      <c r="J352" s="532" t="s">
        <v>399</v>
      </c>
      <c r="K352" s="529">
        <v>54720</v>
      </c>
      <c r="L352" s="529"/>
      <c r="M352" s="529"/>
      <c r="N352" s="529"/>
      <c r="O352" s="534"/>
      <c r="P352" s="522"/>
      <c r="Q352" s="522"/>
      <c r="R352" s="522"/>
      <c r="S352" s="522"/>
      <c r="T352" s="522"/>
      <c r="U352" s="522"/>
      <c r="V352" s="522"/>
      <c r="W352" s="522"/>
      <c r="X352" s="538"/>
      <c r="Y352" s="539"/>
      <c r="Z352" s="525"/>
      <c r="AA352" s="525"/>
      <c r="AB352" s="525"/>
      <c r="AC352" s="525"/>
      <c r="AD352" s="525"/>
      <c r="AE352" s="525"/>
      <c r="AG352" s="533"/>
      <c r="AH352" s="537" t="s">
        <v>252</v>
      </c>
    </row>
    <row r="353" spans="1:24" s="525" customFormat="1" ht="21.95" hidden="1" customHeight="1">
      <c r="A353" s="528" t="s">
        <v>530</v>
      </c>
      <c r="B353" s="528" t="s">
        <v>454</v>
      </c>
      <c r="C353" s="528" t="str">
        <f t="shared" ref="C353:C380" si="56">A353&amp;B353</f>
        <v>파이프행가16C</v>
      </c>
      <c r="D353" s="489" t="s">
        <v>419</v>
      </c>
      <c r="E353" s="529">
        <f t="shared" si="55"/>
        <v>303</v>
      </c>
      <c r="F353" s="489"/>
      <c r="G353" s="529">
        <v>303</v>
      </c>
      <c r="H353" s="530">
        <v>1107</v>
      </c>
      <c r="I353" s="531">
        <v>330</v>
      </c>
      <c r="J353" s="532" t="s">
        <v>1311</v>
      </c>
      <c r="K353" s="531">
        <v>606</v>
      </c>
      <c r="L353" s="533"/>
      <c r="M353" s="529"/>
      <c r="N353" s="529"/>
      <c r="O353" s="534"/>
      <c r="P353" s="522"/>
      <c r="Q353" s="522"/>
      <c r="R353" s="522"/>
      <c r="S353" s="522"/>
      <c r="T353" s="522"/>
      <c r="U353" s="522"/>
      <c r="V353" s="522"/>
      <c r="W353" s="523"/>
      <c r="X353" s="524"/>
    </row>
    <row r="354" spans="1:24" s="525" customFormat="1" ht="21.95" hidden="1" customHeight="1">
      <c r="A354" s="528" t="s">
        <v>530</v>
      </c>
      <c r="B354" s="528" t="s">
        <v>455</v>
      </c>
      <c r="C354" s="528" t="str">
        <f t="shared" si="56"/>
        <v>파이프행가22C</v>
      </c>
      <c r="D354" s="489" t="s">
        <v>419</v>
      </c>
      <c r="E354" s="529">
        <f t="shared" si="55"/>
        <v>318</v>
      </c>
      <c r="F354" s="489"/>
      <c r="G354" s="529">
        <v>318</v>
      </c>
      <c r="H354" s="530">
        <v>1107</v>
      </c>
      <c r="I354" s="531">
        <v>340</v>
      </c>
      <c r="J354" s="532" t="s">
        <v>1311</v>
      </c>
      <c r="K354" s="531">
        <v>621</v>
      </c>
      <c r="L354" s="533"/>
      <c r="M354" s="529"/>
      <c r="N354" s="529"/>
      <c r="O354" s="534"/>
      <c r="P354" s="522"/>
      <c r="Q354" s="522"/>
      <c r="R354" s="522"/>
      <c r="S354" s="522"/>
      <c r="T354" s="522"/>
      <c r="U354" s="522"/>
      <c r="V354" s="522"/>
      <c r="W354" s="523"/>
      <c r="X354" s="524"/>
    </row>
    <row r="355" spans="1:24" s="162" customFormat="1" ht="21.95" customHeight="1">
      <c r="A355" s="110" t="s">
        <v>876</v>
      </c>
      <c r="B355" s="110" t="s">
        <v>456</v>
      </c>
      <c r="C355" s="110" t="str">
        <f t="shared" si="56"/>
        <v>파이프행가28C</v>
      </c>
      <c r="D355" s="99" t="s">
        <v>419</v>
      </c>
      <c r="E355" s="475">
        <f t="shared" si="55"/>
        <v>348</v>
      </c>
      <c r="F355" s="99"/>
      <c r="G355" s="475">
        <v>348</v>
      </c>
      <c r="H355" s="26">
        <v>1101</v>
      </c>
      <c r="I355" s="27">
        <v>680</v>
      </c>
      <c r="J355" s="388">
        <v>1203</v>
      </c>
      <c r="K355" s="27">
        <v>782</v>
      </c>
      <c r="L355" s="122"/>
      <c r="M355" s="475"/>
      <c r="N355" s="475"/>
      <c r="O355" s="23"/>
      <c r="P355" s="25"/>
      <c r="Q355" s="25"/>
      <c r="R355" s="25"/>
      <c r="S355" s="25"/>
      <c r="T355" s="25"/>
      <c r="U355" s="25"/>
      <c r="V355" s="25"/>
      <c r="W355" s="28"/>
      <c r="X355" s="124"/>
    </row>
    <row r="356" spans="1:24" s="162" customFormat="1" ht="21.95" hidden="1" customHeight="1">
      <c r="A356" s="110" t="s">
        <v>530</v>
      </c>
      <c r="B356" s="110" t="s">
        <v>457</v>
      </c>
      <c r="C356" s="110" t="str">
        <f t="shared" si="56"/>
        <v>파이프행가36C</v>
      </c>
      <c r="D356" s="99" t="s">
        <v>419</v>
      </c>
      <c r="E356" s="475">
        <f t="shared" si="55"/>
        <v>370</v>
      </c>
      <c r="F356" s="99"/>
      <c r="G356" s="475">
        <v>370</v>
      </c>
      <c r="H356" s="26">
        <v>1101</v>
      </c>
      <c r="I356" s="27">
        <v>720</v>
      </c>
      <c r="J356" s="388">
        <v>1203</v>
      </c>
      <c r="K356" s="27">
        <v>828</v>
      </c>
      <c r="L356" s="122"/>
      <c r="M356" s="475"/>
      <c r="N356" s="475"/>
      <c r="O356" s="23"/>
      <c r="P356" s="25"/>
      <c r="Q356" s="25"/>
      <c r="R356" s="25"/>
      <c r="S356" s="25"/>
      <c r="T356" s="25"/>
      <c r="U356" s="25"/>
      <c r="V356" s="25"/>
      <c r="W356" s="28"/>
      <c r="X356" s="124"/>
    </row>
    <row r="357" spans="1:24" s="162" customFormat="1" ht="21.95" hidden="1" customHeight="1">
      <c r="A357" s="110" t="s">
        <v>530</v>
      </c>
      <c r="B357" s="110" t="s">
        <v>458</v>
      </c>
      <c r="C357" s="110" t="str">
        <f t="shared" si="56"/>
        <v>파이프행가42C</v>
      </c>
      <c r="D357" s="99" t="s">
        <v>419</v>
      </c>
      <c r="E357" s="475">
        <f t="shared" si="55"/>
        <v>405</v>
      </c>
      <c r="F357" s="99"/>
      <c r="G357" s="475">
        <v>405</v>
      </c>
      <c r="H357" s="26">
        <v>1101</v>
      </c>
      <c r="I357" s="27">
        <v>760</v>
      </c>
      <c r="J357" s="388">
        <v>1203</v>
      </c>
      <c r="K357" s="27">
        <v>904</v>
      </c>
      <c r="L357" s="122"/>
      <c r="M357" s="475"/>
      <c r="N357" s="475"/>
      <c r="O357" s="23"/>
      <c r="P357" s="25"/>
      <c r="Q357" s="25"/>
      <c r="R357" s="25"/>
      <c r="S357" s="25"/>
      <c r="T357" s="25"/>
      <c r="U357" s="25"/>
      <c r="V357" s="25"/>
      <c r="W357" s="28"/>
      <c r="X357" s="124"/>
    </row>
    <row r="358" spans="1:24" s="162" customFormat="1" ht="21.95" hidden="1" customHeight="1">
      <c r="A358" s="110" t="s">
        <v>530</v>
      </c>
      <c r="B358" s="110" t="s">
        <v>459</v>
      </c>
      <c r="C358" s="110" t="str">
        <f t="shared" si="56"/>
        <v>파이프행가54C</v>
      </c>
      <c r="D358" s="99" t="s">
        <v>419</v>
      </c>
      <c r="E358" s="475">
        <f t="shared" si="55"/>
        <v>588</v>
      </c>
      <c r="F358" s="99"/>
      <c r="G358" s="475">
        <v>588</v>
      </c>
      <c r="H358" s="26">
        <v>1101</v>
      </c>
      <c r="I358" s="27">
        <v>1050</v>
      </c>
      <c r="J358" s="388">
        <v>1203</v>
      </c>
      <c r="K358" s="27">
        <v>1272</v>
      </c>
      <c r="L358" s="122"/>
      <c r="M358" s="475"/>
      <c r="N358" s="475"/>
      <c r="O358" s="23"/>
      <c r="P358" s="25"/>
      <c r="Q358" s="25"/>
      <c r="R358" s="25"/>
      <c r="S358" s="25"/>
      <c r="T358" s="25"/>
      <c r="U358" s="25"/>
      <c r="V358" s="25"/>
      <c r="W358" s="28"/>
      <c r="X358" s="124"/>
    </row>
    <row r="359" spans="1:24" s="162" customFormat="1" ht="21.95" customHeight="1">
      <c r="A359" s="110" t="s">
        <v>530</v>
      </c>
      <c r="B359" s="110" t="s">
        <v>460</v>
      </c>
      <c r="C359" s="110" t="str">
        <f t="shared" si="56"/>
        <v>파이프행가70C</v>
      </c>
      <c r="D359" s="99" t="s">
        <v>419</v>
      </c>
      <c r="E359" s="475">
        <f t="shared" si="55"/>
        <v>636</v>
      </c>
      <c r="F359" s="99"/>
      <c r="G359" s="475">
        <v>636</v>
      </c>
      <c r="H359" s="26">
        <v>1101</v>
      </c>
      <c r="I359" s="27">
        <v>1210</v>
      </c>
      <c r="J359" s="388">
        <v>1203</v>
      </c>
      <c r="K359" s="27">
        <v>1422</v>
      </c>
      <c r="L359" s="122"/>
      <c r="M359" s="475"/>
      <c r="N359" s="475"/>
      <c r="O359" s="23"/>
      <c r="P359" s="25"/>
      <c r="Q359" s="25"/>
      <c r="R359" s="25"/>
      <c r="S359" s="25"/>
      <c r="T359" s="25"/>
      <c r="U359" s="25"/>
      <c r="V359" s="25"/>
      <c r="W359" s="28"/>
      <c r="X359" s="124"/>
    </row>
    <row r="360" spans="1:24" s="162" customFormat="1" ht="21.95" customHeight="1">
      <c r="A360" s="110" t="s">
        <v>530</v>
      </c>
      <c r="B360" s="110" t="s">
        <v>461</v>
      </c>
      <c r="C360" s="110" t="str">
        <f t="shared" si="56"/>
        <v>파이프행가82C</v>
      </c>
      <c r="D360" s="99" t="s">
        <v>419</v>
      </c>
      <c r="E360" s="475">
        <f t="shared" si="55"/>
        <v>1087</v>
      </c>
      <c r="F360" s="99"/>
      <c r="G360" s="475">
        <v>1087</v>
      </c>
      <c r="H360" s="26">
        <v>1101</v>
      </c>
      <c r="I360" s="27">
        <v>1780</v>
      </c>
      <c r="J360" s="24">
        <v>1203</v>
      </c>
      <c r="K360" s="27">
        <v>1932</v>
      </c>
      <c r="L360" s="122"/>
      <c r="M360" s="475"/>
      <c r="N360" s="475"/>
      <c r="O360" s="23"/>
      <c r="P360" s="25"/>
      <c r="Q360" s="25"/>
      <c r="R360" s="25"/>
      <c r="S360" s="25"/>
      <c r="T360" s="25"/>
      <c r="U360" s="25"/>
      <c r="V360" s="25"/>
      <c r="W360" s="28"/>
      <c r="X360" s="124"/>
    </row>
    <row r="361" spans="1:24" s="162" customFormat="1" ht="21.95" customHeight="1">
      <c r="A361" s="110" t="s">
        <v>530</v>
      </c>
      <c r="B361" s="110" t="s">
        <v>462</v>
      </c>
      <c r="C361" s="110" t="str">
        <f t="shared" si="56"/>
        <v>파이프행가104C</v>
      </c>
      <c r="D361" s="99" t="s">
        <v>419</v>
      </c>
      <c r="E361" s="475">
        <f t="shared" si="55"/>
        <v>1275</v>
      </c>
      <c r="F361" s="99"/>
      <c r="G361" s="475">
        <v>1275</v>
      </c>
      <c r="H361" s="26">
        <v>1101</v>
      </c>
      <c r="I361" s="27">
        <v>1940</v>
      </c>
      <c r="J361" s="24">
        <v>1203</v>
      </c>
      <c r="K361" s="27">
        <v>2484</v>
      </c>
      <c r="L361" s="122"/>
      <c r="M361" s="475"/>
      <c r="N361" s="475"/>
      <c r="O361" s="23"/>
      <c r="P361" s="25"/>
      <c r="Q361" s="25"/>
      <c r="R361" s="25"/>
      <c r="S361" s="25"/>
      <c r="T361" s="25"/>
      <c r="U361" s="25"/>
      <c r="V361" s="25"/>
      <c r="W361" s="28"/>
      <c r="X361" s="124"/>
    </row>
    <row r="362" spans="1:24" s="162" customFormat="1" ht="21.95" customHeight="1">
      <c r="A362" s="22" t="s">
        <v>868</v>
      </c>
      <c r="B362" s="110" t="s">
        <v>1848</v>
      </c>
      <c r="C362" s="110" t="str">
        <f t="shared" si="56"/>
        <v>달대볼트9Φx1000mm</v>
      </c>
      <c r="D362" s="99" t="s">
        <v>419</v>
      </c>
      <c r="E362" s="475">
        <f t="shared" si="55"/>
        <v>1205</v>
      </c>
      <c r="F362" s="99"/>
      <c r="G362" s="475"/>
      <c r="H362" s="26">
        <v>46</v>
      </c>
      <c r="I362" s="27">
        <v>1205</v>
      </c>
      <c r="J362" s="388">
        <v>43</v>
      </c>
      <c r="K362" s="27">
        <v>1226</v>
      </c>
      <c r="L362" s="122"/>
      <c r="M362" s="475"/>
      <c r="N362" s="475"/>
      <c r="O362" s="23"/>
      <c r="P362" s="25"/>
      <c r="Q362" s="25"/>
      <c r="R362" s="25"/>
      <c r="S362" s="25"/>
      <c r="T362" s="25"/>
      <c r="U362" s="25"/>
      <c r="V362" s="25"/>
      <c r="W362" s="28"/>
      <c r="X362" s="124"/>
    </row>
    <row r="363" spans="1:24" s="162" customFormat="1" ht="21.95" customHeight="1">
      <c r="A363" s="22" t="s">
        <v>1847</v>
      </c>
      <c r="B363" s="110" t="s">
        <v>1849</v>
      </c>
      <c r="C363" s="110" t="str">
        <f t="shared" si="56"/>
        <v>스트롱앙카9Φ</v>
      </c>
      <c r="D363" s="554" t="s">
        <v>1850</v>
      </c>
      <c r="E363" s="555">
        <v>200</v>
      </c>
      <c r="F363" s="554"/>
      <c r="G363" s="555"/>
      <c r="H363" s="26">
        <v>52</v>
      </c>
      <c r="I363" s="27">
        <v>310</v>
      </c>
      <c r="J363" s="388">
        <v>643</v>
      </c>
      <c r="K363" s="27">
        <v>200</v>
      </c>
      <c r="L363" s="553"/>
      <c r="M363" s="555"/>
      <c r="N363" s="555"/>
      <c r="O363" s="23"/>
      <c r="P363" s="25"/>
      <c r="Q363" s="25"/>
      <c r="R363" s="25"/>
      <c r="S363" s="25"/>
      <c r="T363" s="25"/>
      <c r="U363" s="25"/>
      <c r="V363" s="25"/>
      <c r="W363" s="28"/>
      <c r="X363" s="124"/>
    </row>
    <row r="364" spans="1:24" s="162" customFormat="1" ht="21.95" customHeight="1">
      <c r="A364" s="110" t="s">
        <v>869</v>
      </c>
      <c r="B364" s="110" t="s">
        <v>117</v>
      </c>
      <c r="C364" s="110" t="str">
        <f t="shared" si="56"/>
        <v>셋트앙카1/2"100㎜</v>
      </c>
      <c r="D364" s="99" t="s">
        <v>870</v>
      </c>
      <c r="E364" s="475">
        <f t="shared" si="55"/>
        <v>1680</v>
      </c>
      <c r="F364" s="122"/>
      <c r="G364" s="475"/>
      <c r="H364" s="26">
        <v>52</v>
      </c>
      <c r="I364" s="27">
        <v>1680</v>
      </c>
      <c r="J364" s="24">
        <v>1212</v>
      </c>
      <c r="K364" s="27">
        <v>1740</v>
      </c>
      <c r="L364" s="122"/>
      <c r="M364" s="475"/>
      <c r="N364" s="475"/>
      <c r="O364" s="23"/>
      <c r="P364" s="25"/>
      <c r="Q364" s="25"/>
      <c r="R364" s="25"/>
      <c r="S364" s="25"/>
      <c r="T364" s="25"/>
      <c r="U364" s="25"/>
      <c r="V364" s="25"/>
      <c r="W364" s="28"/>
      <c r="X364" s="124"/>
    </row>
    <row r="365" spans="1:24" s="162" customFormat="1" ht="21.95" hidden="1" customHeight="1">
      <c r="A365" s="110" t="s">
        <v>871</v>
      </c>
      <c r="B365" s="110" t="s">
        <v>872</v>
      </c>
      <c r="C365" s="110" t="str">
        <f t="shared" si="56"/>
        <v>스트롱앙카9Φ</v>
      </c>
      <c r="D365" s="99" t="s">
        <v>870</v>
      </c>
      <c r="E365" s="475">
        <f t="shared" si="55"/>
        <v>137</v>
      </c>
      <c r="F365" s="122"/>
      <c r="G365" s="475"/>
      <c r="H365" s="26">
        <v>52</v>
      </c>
      <c r="I365" s="27">
        <v>310</v>
      </c>
      <c r="J365" s="388">
        <v>92</v>
      </c>
      <c r="K365" s="27">
        <v>137</v>
      </c>
      <c r="L365" s="122"/>
      <c r="M365" s="475"/>
      <c r="N365" s="475"/>
      <c r="O365" s="23"/>
      <c r="P365" s="25"/>
      <c r="Q365" s="25"/>
      <c r="R365" s="25"/>
      <c r="S365" s="25"/>
      <c r="T365" s="25"/>
      <c r="U365" s="25"/>
      <c r="V365" s="25"/>
      <c r="W365" s="28"/>
      <c r="X365" s="124"/>
    </row>
    <row r="366" spans="1:24" s="162" customFormat="1" ht="21.95" hidden="1" customHeight="1">
      <c r="A366" s="110" t="s">
        <v>873</v>
      </c>
      <c r="B366" s="110" t="s">
        <v>872</v>
      </c>
      <c r="C366" s="110" t="str">
        <f t="shared" si="56"/>
        <v>스트롱앙카(SUS)9Φ</v>
      </c>
      <c r="D366" s="99" t="s">
        <v>870</v>
      </c>
      <c r="E366" s="475">
        <f t="shared" si="55"/>
        <v>1073</v>
      </c>
      <c r="F366" s="122"/>
      <c r="G366" s="475"/>
      <c r="H366" s="26"/>
      <c r="I366" s="27"/>
      <c r="J366" s="388" t="s">
        <v>880</v>
      </c>
      <c r="K366" s="27">
        <v>1073</v>
      </c>
      <c r="L366" s="122"/>
      <c r="M366" s="475"/>
      <c r="N366" s="475"/>
      <c r="O366" s="23"/>
      <c r="P366" s="25"/>
      <c r="Q366" s="25"/>
      <c r="R366" s="25"/>
      <c r="S366" s="25"/>
      <c r="T366" s="25"/>
      <c r="U366" s="25"/>
      <c r="V366" s="25"/>
      <c r="W366" s="28"/>
      <c r="X366" s="124"/>
    </row>
    <row r="367" spans="1:24" s="162" customFormat="1" ht="21.95" hidden="1" customHeight="1">
      <c r="A367" s="110" t="s">
        <v>874</v>
      </c>
      <c r="B367" s="110" t="s">
        <v>872</v>
      </c>
      <c r="C367" s="110" t="str">
        <f t="shared" si="56"/>
        <v>인서트앙카9Φ</v>
      </c>
      <c r="D367" s="99" t="s">
        <v>870</v>
      </c>
      <c r="E367" s="475">
        <f t="shared" si="55"/>
        <v>180</v>
      </c>
      <c r="F367" s="122"/>
      <c r="G367" s="475"/>
      <c r="H367" s="26">
        <v>535</v>
      </c>
      <c r="I367" s="27">
        <v>180</v>
      </c>
      <c r="J367" s="24"/>
      <c r="K367" s="27"/>
      <c r="L367" s="122"/>
      <c r="M367" s="475"/>
      <c r="N367" s="475"/>
      <c r="O367" s="23"/>
      <c r="P367" s="25"/>
      <c r="Q367" s="25"/>
      <c r="R367" s="25"/>
      <c r="S367" s="25"/>
      <c r="T367" s="25"/>
      <c r="U367" s="25"/>
      <c r="V367" s="25"/>
      <c r="W367" s="28"/>
      <c r="X367" s="124"/>
    </row>
    <row r="368" spans="1:24" s="162" customFormat="1" ht="21.95" hidden="1" customHeight="1">
      <c r="A368" s="110" t="s">
        <v>835</v>
      </c>
      <c r="B368" s="110" t="s">
        <v>513</v>
      </c>
      <c r="C368" s="110" t="str">
        <f t="shared" si="56"/>
        <v>달대볼트(SUS)9Φx1000mm</v>
      </c>
      <c r="D368" s="99" t="s">
        <v>870</v>
      </c>
      <c r="E368" s="475">
        <f t="shared" si="55"/>
        <v>3736</v>
      </c>
      <c r="F368" s="122"/>
      <c r="G368" s="475"/>
      <c r="H368" s="26">
        <v>86</v>
      </c>
      <c r="I368" s="27">
        <v>3736</v>
      </c>
      <c r="J368" s="388" t="s">
        <v>875</v>
      </c>
      <c r="K368" s="27">
        <v>4950</v>
      </c>
      <c r="L368" s="122"/>
      <c r="M368" s="475"/>
      <c r="N368" s="475"/>
      <c r="O368" s="23"/>
      <c r="P368" s="25"/>
      <c r="Q368" s="25"/>
      <c r="R368" s="25"/>
      <c r="S368" s="25"/>
      <c r="T368" s="25"/>
      <c r="U368" s="25"/>
      <c r="V368" s="25"/>
      <c r="W368" s="28"/>
      <c r="X368" s="124"/>
    </row>
    <row r="369" spans="1:24" s="162" customFormat="1" ht="21.95" hidden="1" customHeight="1">
      <c r="A369" s="110" t="s">
        <v>463</v>
      </c>
      <c r="B369" s="110" t="s">
        <v>596</v>
      </c>
      <c r="C369" s="110" t="str">
        <f t="shared" si="56"/>
        <v>PULL BOX100x100x50</v>
      </c>
      <c r="D369" s="99" t="s">
        <v>419</v>
      </c>
      <c r="E369" s="475">
        <f t="shared" si="55"/>
        <v>1417</v>
      </c>
      <c r="F369" s="99"/>
      <c r="G369" s="475">
        <v>1417</v>
      </c>
      <c r="H369" s="26">
        <v>1106</v>
      </c>
      <c r="I369" s="27">
        <v>1740</v>
      </c>
      <c r="J369" s="24" t="s">
        <v>988</v>
      </c>
      <c r="K369" s="27">
        <v>2420</v>
      </c>
      <c r="L369" s="122"/>
      <c r="M369" s="475"/>
      <c r="N369" s="475"/>
      <c r="O369" s="23"/>
      <c r="P369" s="25"/>
      <c r="Q369" s="25"/>
      <c r="R369" s="25"/>
      <c r="S369" s="25"/>
      <c r="T369" s="25"/>
      <c r="U369" s="25"/>
      <c r="V369" s="25"/>
      <c r="W369" s="28"/>
      <c r="X369" s="124"/>
    </row>
    <row r="370" spans="1:24" s="162" customFormat="1" ht="21.95" hidden="1" customHeight="1">
      <c r="A370" s="110" t="s">
        <v>463</v>
      </c>
      <c r="B370" s="110" t="s">
        <v>569</v>
      </c>
      <c r="C370" s="110" t="str">
        <f t="shared" si="56"/>
        <v>PULL BOX100x100x75</v>
      </c>
      <c r="D370" s="99" t="s">
        <v>419</v>
      </c>
      <c r="E370" s="475">
        <f t="shared" si="55"/>
        <v>1500</v>
      </c>
      <c r="F370" s="99"/>
      <c r="G370" s="475">
        <v>1500</v>
      </c>
      <c r="H370" s="26">
        <v>1106</v>
      </c>
      <c r="I370" s="27">
        <v>2120</v>
      </c>
      <c r="J370" s="24" t="s">
        <v>1183</v>
      </c>
      <c r="K370" s="27">
        <v>2520</v>
      </c>
      <c r="L370" s="122"/>
      <c r="M370" s="475"/>
      <c r="N370" s="475"/>
      <c r="O370" s="23"/>
      <c r="P370" s="25"/>
      <c r="Q370" s="25"/>
      <c r="R370" s="25"/>
      <c r="S370" s="25"/>
      <c r="T370" s="25"/>
      <c r="U370" s="25"/>
      <c r="V370" s="25"/>
      <c r="W370" s="28"/>
      <c r="X370" s="124"/>
    </row>
    <row r="371" spans="1:24" s="162" customFormat="1" ht="21.95" hidden="1" customHeight="1">
      <c r="A371" s="110" t="s">
        <v>463</v>
      </c>
      <c r="B371" s="110" t="s">
        <v>464</v>
      </c>
      <c r="C371" s="110" t="str">
        <f t="shared" si="56"/>
        <v>PULL BOX100x100x100</v>
      </c>
      <c r="D371" s="99" t="s">
        <v>419</v>
      </c>
      <c r="E371" s="475">
        <f t="shared" si="55"/>
        <v>2861</v>
      </c>
      <c r="F371" s="99"/>
      <c r="G371" s="475">
        <v>2861</v>
      </c>
      <c r="H371" s="26">
        <v>1111</v>
      </c>
      <c r="I371" s="27">
        <v>3000</v>
      </c>
      <c r="J371" s="24">
        <v>1237</v>
      </c>
      <c r="K371" s="27">
        <v>3170</v>
      </c>
      <c r="L371" s="122"/>
      <c r="M371" s="475"/>
      <c r="N371" s="475"/>
      <c r="O371" s="23"/>
      <c r="P371" s="25"/>
      <c r="Q371" s="25"/>
      <c r="R371" s="25"/>
      <c r="S371" s="25"/>
      <c r="T371" s="25"/>
      <c r="U371" s="25"/>
      <c r="V371" s="25"/>
      <c r="W371" s="28"/>
      <c r="X371" s="124" t="s">
        <v>502</v>
      </c>
    </row>
    <row r="372" spans="1:24" s="162" customFormat="1" ht="21.95" hidden="1" customHeight="1">
      <c r="A372" s="110" t="s">
        <v>463</v>
      </c>
      <c r="B372" s="110" t="s">
        <v>465</v>
      </c>
      <c r="C372" s="110" t="str">
        <f t="shared" si="56"/>
        <v>PULL BOX150x150x100</v>
      </c>
      <c r="D372" s="99" t="s">
        <v>419</v>
      </c>
      <c r="E372" s="475">
        <f t="shared" si="55"/>
        <v>2854</v>
      </c>
      <c r="F372" s="99"/>
      <c r="G372" s="475">
        <v>2854</v>
      </c>
      <c r="H372" s="26">
        <v>1111</v>
      </c>
      <c r="I372" s="27">
        <v>3500</v>
      </c>
      <c r="J372" s="24">
        <v>1237</v>
      </c>
      <c r="K372" s="27">
        <v>3750</v>
      </c>
      <c r="L372" s="122"/>
      <c r="M372" s="475"/>
      <c r="N372" s="475"/>
      <c r="O372" s="23"/>
      <c r="P372" s="25"/>
      <c r="Q372" s="25"/>
      <c r="R372" s="25"/>
      <c r="S372" s="25"/>
      <c r="T372" s="25"/>
      <c r="U372" s="25"/>
      <c r="V372" s="25"/>
      <c r="W372" s="28"/>
      <c r="X372" s="124" t="s">
        <v>502</v>
      </c>
    </row>
    <row r="373" spans="1:24" s="162" customFormat="1" ht="21.95" hidden="1" customHeight="1">
      <c r="A373" s="110" t="s">
        <v>463</v>
      </c>
      <c r="B373" s="110" t="s">
        <v>466</v>
      </c>
      <c r="C373" s="110" t="str">
        <f t="shared" si="56"/>
        <v>PULL BOX150x150x150</v>
      </c>
      <c r="D373" s="99" t="s">
        <v>419</v>
      </c>
      <c r="E373" s="475">
        <f t="shared" si="55"/>
        <v>2761</v>
      </c>
      <c r="F373" s="99"/>
      <c r="G373" s="475">
        <v>2761</v>
      </c>
      <c r="H373" s="26">
        <v>1111</v>
      </c>
      <c r="I373" s="27">
        <v>8430</v>
      </c>
      <c r="J373" s="24" t="s">
        <v>1275</v>
      </c>
      <c r="K373" s="27">
        <v>4200</v>
      </c>
      <c r="L373" s="122"/>
      <c r="M373" s="475"/>
      <c r="N373" s="475"/>
      <c r="O373" s="23"/>
      <c r="P373" s="25"/>
      <c r="Q373" s="25"/>
      <c r="R373" s="25"/>
      <c r="S373" s="25"/>
      <c r="T373" s="25"/>
      <c r="U373" s="25"/>
      <c r="V373" s="25"/>
      <c r="W373" s="28"/>
      <c r="X373" s="124" t="s">
        <v>502</v>
      </c>
    </row>
    <row r="374" spans="1:24" s="162" customFormat="1" ht="21.95" customHeight="1">
      <c r="A374" s="110" t="s">
        <v>463</v>
      </c>
      <c r="B374" s="110" t="s">
        <v>467</v>
      </c>
      <c r="C374" s="110" t="str">
        <f t="shared" si="56"/>
        <v>PULL BOX200x200x100</v>
      </c>
      <c r="D374" s="99" t="s">
        <v>419</v>
      </c>
      <c r="E374" s="475">
        <f t="shared" si="55"/>
        <v>4020</v>
      </c>
      <c r="F374" s="99"/>
      <c r="G374" s="475">
        <v>4020</v>
      </c>
      <c r="H374" s="26">
        <v>1106</v>
      </c>
      <c r="I374" s="27">
        <v>4340</v>
      </c>
      <c r="J374" s="24" t="s">
        <v>1275</v>
      </c>
      <c r="K374" s="27">
        <v>5460</v>
      </c>
      <c r="L374" s="122"/>
      <c r="M374" s="475"/>
      <c r="N374" s="475"/>
      <c r="O374" s="23"/>
      <c r="P374" s="25"/>
      <c r="Q374" s="25"/>
      <c r="R374" s="25"/>
      <c r="S374" s="25"/>
      <c r="T374" s="25"/>
      <c r="U374" s="25"/>
      <c r="V374" s="25"/>
      <c r="W374" s="28"/>
      <c r="X374" s="124" t="s">
        <v>502</v>
      </c>
    </row>
    <row r="375" spans="1:24" s="162" customFormat="1" ht="21.95" hidden="1" customHeight="1">
      <c r="A375" s="110" t="s">
        <v>463</v>
      </c>
      <c r="B375" s="110" t="s">
        <v>468</v>
      </c>
      <c r="C375" s="110" t="str">
        <f t="shared" si="56"/>
        <v>PULL BOX200x200x150</v>
      </c>
      <c r="D375" s="99" t="s">
        <v>419</v>
      </c>
      <c r="E375" s="475">
        <f t="shared" si="55"/>
        <v>4758</v>
      </c>
      <c r="F375" s="99"/>
      <c r="G375" s="475">
        <v>4758</v>
      </c>
      <c r="H375" s="26">
        <v>1111</v>
      </c>
      <c r="I375" s="27">
        <v>5900</v>
      </c>
      <c r="J375" s="24">
        <v>1237</v>
      </c>
      <c r="K375" s="27">
        <v>6070</v>
      </c>
      <c r="L375" s="122"/>
      <c r="M375" s="475"/>
      <c r="N375" s="475"/>
      <c r="O375" s="23"/>
      <c r="P375" s="25"/>
      <c r="Q375" s="25"/>
      <c r="R375" s="25"/>
      <c r="S375" s="25"/>
      <c r="T375" s="25"/>
      <c r="U375" s="25"/>
      <c r="V375" s="25"/>
      <c r="W375" s="28"/>
      <c r="X375" s="124" t="s">
        <v>502</v>
      </c>
    </row>
    <row r="376" spans="1:24" s="162" customFormat="1" ht="21.95" hidden="1" customHeight="1">
      <c r="A376" s="110" t="s">
        <v>463</v>
      </c>
      <c r="B376" s="110" t="s">
        <v>469</v>
      </c>
      <c r="C376" s="110" t="str">
        <f t="shared" si="56"/>
        <v>PULL BOX200x200x200</v>
      </c>
      <c r="D376" s="99" t="s">
        <v>419</v>
      </c>
      <c r="E376" s="475">
        <f t="shared" si="55"/>
        <v>4815</v>
      </c>
      <c r="F376" s="99"/>
      <c r="G376" s="475">
        <v>4815</v>
      </c>
      <c r="H376" s="26">
        <v>1111</v>
      </c>
      <c r="I376" s="27">
        <v>7000</v>
      </c>
      <c r="J376" s="24">
        <v>1237</v>
      </c>
      <c r="K376" s="27">
        <v>7120</v>
      </c>
      <c r="L376" s="122"/>
      <c r="M376" s="475"/>
      <c r="N376" s="475"/>
      <c r="O376" s="23"/>
      <c r="P376" s="25"/>
      <c r="Q376" s="25"/>
      <c r="R376" s="25"/>
      <c r="S376" s="25"/>
      <c r="T376" s="25"/>
      <c r="U376" s="25"/>
      <c r="V376" s="25"/>
      <c r="W376" s="28"/>
      <c r="X376" s="124" t="s">
        <v>502</v>
      </c>
    </row>
    <row r="377" spans="1:24" s="162" customFormat="1" ht="21.95" hidden="1" customHeight="1">
      <c r="A377" s="110" t="s">
        <v>463</v>
      </c>
      <c r="B377" s="110" t="s">
        <v>1012</v>
      </c>
      <c r="C377" s="110" t="str">
        <f t="shared" si="56"/>
        <v>PULL BOX250x250x150</v>
      </c>
      <c r="D377" s="99" t="s">
        <v>419</v>
      </c>
      <c r="E377" s="475">
        <f t="shared" si="55"/>
        <v>5867</v>
      </c>
      <c r="F377" s="99"/>
      <c r="G377" s="475">
        <v>5867</v>
      </c>
      <c r="H377" s="26">
        <v>1111</v>
      </c>
      <c r="I377" s="27">
        <v>9000</v>
      </c>
      <c r="J377" s="24">
        <v>1237</v>
      </c>
      <c r="K377" s="27">
        <v>8170</v>
      </c>
      <c r="L377" s="122"/>
      <c r="M377" s="475"/>
      <c r="N377" s="475"/>
      <c r="O377" s="23"/>
      <c r="P377" s="25"/>
      <c r="Q377" s="25"/>
      <c r="R377" s="25"/>
      <c r="S377" s="25"/>
      <c r="T377" s="25"/>
      <c r="U377" s="25"/>
      <c r="V377" s="25"/>
      <c r="W377" s="28"/>
      <c r="X377" s="124" t="s">
        <v>502</v>
      </c>
    </row>
    <row r="378" spans="1:24" s="162" customFormat="1" ht="21.95" hidden="1" customHeight="1">
      <c r="A378" s="110" t="s">
        <v>463</v>
      </c>
      <c r="B378" s="110" t="s">
        <v>470</v>
      </c>
      <c r="C378" s="110" t="str">
        <f t="shared" si="56"/>
        <v>PULL BOX250x250x200</v>
      </c>
      <c r="D378" s="99" t="s">
        <v>419</v>
      </c>
      <c r="E378" s="475">
        <f t="shared" si="55"/>
        <v>9370</v>
      </c>
      <c r="F378" s="99"/>
      <c r="G378" s="475"/>
      <c r="H378" s="26">
        <v>1111</v>
      </c>
      <c r="I378" s="27">
        <v>10500</v>
      </c>
      <c r="J378" s="24">
        <v>1237</v>
      </c>
      <c r="K378" s="27">
        <v>9370</v>
      </c>
      <c r="L378" s="122"/>
      <c r="M378" s="475"/>
      <c r="N378" s="475"/>
      <c r="O378" s="23"/>
      <c r="P378" s="25"/>
      <c r="Q378" s="25"/>
      <c r="R378" s="25"/>
      <c r="S378" s="25"/>
      <c r="T378" s="25"/>
      <c r="U378" s="25"/>
      <c r="V378" s="25"/>
      <c r="W378" s="28"/>
      <c r="X378" s="124" t="s">
        <v>502</v>
      </c>
    </row>
    <row r="379" spans="1:24" s="162" customFormat="1" ht="21.95" hidden="1" customHeight="1">
      <c r="A379" s="110" t="s">
        <v>463</v>
      </c>
      <c r="B379" s="110" t="s">
        <v>1013</v>
      </c>
      <c r="C379" s="110" t="str">
        <f t="shared" si="56"/>
        <v>PULL BOX300x300x150</v>
      </c>
      <c r="D379" s="99" t="s">
        <v>419</v>
      </c>
      <c r="E379" s="475">
        <f t="shared" si="55"/>
        <v>7181</v>
      </c>
      <c r="F379" s="99"/>
      <c r="G379" s="475">
        <v>7181</v>
      </c>
      <c r="H379" s="26">
        <v>1106</v>
      </c>
      <c r="I379" s="27">
        <v>9540</v>
      </c>
      <c r="J379" s="24" t="s">
        <v>1275</v>
      </c>
      <c r="K379" s="27">
        <v>9900</v>
      </c>
      <c r="L379" s="122"/>
      <c r="M379" s="475"/>
      <c r="N379" s="475"/>
      <c r="O379" s="23"/>
      <c r="P379" s="25"/>
      <c r="Q379" s="25"/>
      <c r="R379" s="25"/>
      <c r="S379" s="25"/>
      <c r="T379" s="25"/>
      <c r="U379" s="25"/>
      <c r="V379" s="25"/>
      <c r="W379" s="28"/>
      <c r="X379" s="124" t="s">
        <v>502</v>
      </c>
    </row>
    <row r="380" spans="1:24" s="162" customFormat="1" ht="21.95" customHeight="1">
      <c r="A380" s="110" t="s">
        <v>463</v>
      </c>
      <c r="B380" s="110" t="s">
        <v>471</v>
      </c>
      <c r="C380" s="110" t="str">
        <f t="shared" si="56"/>
        <v>PULL BOX300x300x200</v>
      </c>
      <c r="D380" s="99" t="s">
        <v>419</v>
      </c>
      <c r="E380" s="475">
        <f t="shared" si="55"/>
        <v>10391</v>
      </c>
      <c r="F380" s="99"/>
      <c r="G380" s="475">
        <v>10391</v>
      </c>
      <c r="H380" s="26">
        <v>1106</v>
      </c>
      <c r="I380" s="27">
        <v>11040</v>
      </c>
      <c r="J380" s="24" t="s">
        <v>1275</v>
      </c>
      <c r="K380" s="27">
        <v>11080</v>
      </c>
      <c r="L380" s="122"/>
      <c r="M380" s="475"/>
      <c r="N380" s="475"/>
      <c r="O380" s="23"/>
      <c r="P380" s="25"/>
      <c r="Q380" s="25"/>
      <c r="R380" s="25"/>
      <c r="S380" s="25"/>
      <c r="T380" s="25"/>
      <c r="U380" s="25"/>
      <c r="V380" s="25"/>
      <c r="W380" s="28"/>
      <c r="X380" s="124" t="s">
        <v>502</v>
      </c>
    </row>
    <row r="381" spans="1:24" s="162" customFormat="1" ht="21.95" hidden="1" customHeight="1">
      <c r="A381" s="110" t="s">
        <v>463</v>
      </c>
      <c r="B381" s="110" t="s">
        <v>587</v>
      </c>
      <c r="C381" s="110" t="str">
        <f t="shared" ref="C381:C387" si="57">A381&amp;B381</f>
        <v>PULL BOX300x300x300</v>
      </c>
      <c r="D381" s="99" t="s">
        <v>419</v>
      </c>
      <c r="E381" s="475">
        <f t="shared" si="55"/>
        <v>10641</v>
      </c>
      <c r="F381" s="99"/>
      <c r="G381" s="475">
        <v>10641</v>
      </c>
      <c r="H381" s="26">
        <v>1111</v>
      </c>
      <c r="I381" s="27">
        <v>32710</v>
      </c>
      <c r="J381" s="24" t="s">
        <v>1275</v>
      </c>
      <c r="K381" s="27">
        <v>14920</v>
      </c>
      <c r="L381" s="122"/>
      <c r="M381" s="475"/>
      <c r="N381" s="475"/>
      <c r="O381" s="23"/>
      <c r="P381" s="25"/>
      <c r="Q381" s="25"/>
      <c r="R381" s="25"/>
      <c r="S381" s="25"/>
      <c r="T381" s="25"/>
      <c r="U381" s="25"/>
      <c r="V381" s="25"/>
      <c r="W381" s="28"/>
      <c r="X381" s="124" t="s">
        <v>502</v>
      </c>
    </row>
    <row r="382" spans="1:24" s="162" customFormat="1" ht="21.95" hidden="1" customHeight="1">
      <c r="A382" s="110" t="s">
        <v>463</v>
      </c>
      <c r="B382" s="110" t="s">
        <v>570</v>
      </c>
      <c r="C382" s="110" t="str">
        <f t="shared" si="57"/>
        <v>PULL BOX400x400x300</v>
      </c>
      <c r="D382" s="99" t="s">
        <v>419</v>
      </c>
      <c r="E382" s="475">
        <f t="shared" si="55"/>
        <v>15551</v>
      </c>
      <c r="F382" s="99"/>
      <c r="G382" s="475">
        <v>15551</v>
      </c>
      <c r="H382" s="26">
        <v>1111</v>
      </c>
      <c r="I382" s="27">
        <v>48150</v>
      </c>
      <c r="J382" s="24" t="s">
        <v>1275</v>
      </c>
      <c r="K382" s="27">
        <v>26170</v>
      </c>
      <c r="L382" s="122"/>
      <c r="M382" s="475"/>
      <c r="N382" s="475"/>
      <c r="O382" s="23"/>
      <c r="P382" s="25"/>
      <c r="Q382" s="25"/>
      <c r="R382" s="25"/>
      <c r="S382" s="25"/>
      <c r="T382" s="25"/>
      <c r="U382" s="25"/>
      <c r="V382" s="25"/>
      <c r="W382" s="28"/>
      <c r="X382" s="124"/>
    </row>
    <row r="383" spans="1:24" s="162" customFormat="1" ht="21.95" hidden="1" customHeight="1">
      <c r="A383" s="110" t="s">
        <v>463</v>
      </c>
      <c r="B383" s="110" t="s">
        <v>1384</v>
      </c>
      <c r="C383" s="110" t="str">
        <f t="shared" ref="C383" si="58">A383&amp;B383</f>
        <v>PULL BOX500x500x400</v>
      </c>
      <c r="D383" s="99" t="s">
        <v>419</v>
      </c>
      <c r="E383" s="475">
        <f t="shared" ref="E383" si="59">MIN(G383,I383,K383,L383,M383)</f>
        <v>29800</v>
      </c>
      <c r="F383" s="99"/>
      <c r="G383" s="475">
        <v>29800</v>
      </c>
      <c r="H383" s="26"/>
      <c r="I383" s="27"/>
      <c r="J383" s="24">
        <v>1237</v>
      </c>
      <c r="K383" s="27">
        <v>38250</v>
      </c>
      <c r="L383" s="122"/>
      <c r="M383" s="475"/>
      <c r="N383" s="475"/>
      <c r="O383" s="23"/>
      <c r="P383" s="25"/>
      <c r="Q383" s="25"/>
      <c r="R383" s="25"/>
      <c r="S383" s="25"/>
      <c r="T383" s="25"/>
      <c r="U383" s="25"/>
      <c r="V383" s="25"/>
      <c r="W383" s="28"/>
      <c r="X383" s="124"/>
    </row>
    <row r="384" spans="1:24" s="162" customFormat="1" ht="21.95" hidden="1" customHeight="1">
      <c r="A384" s="110" t="s">
        <v>463</v>
      </c>
      <c r="B384" s="110" t="s">
        <v>3</v>
      </c>
      <c r="C384" s="110" t="str">
        <f t="shared" si="57"/>
        <v>PULL BOX600x600x400</v>
      </c>
      <c r="D384" s="99" t="s">
        <v>419</v>
      </c>
      <c r="E384" s="475">
        <f t="shared" si="55"/>
        <v>29779</v>
      </c>
      <c r="F384" s="99"/>
      <c r="G384" s="475">
        <v>29779</v>
      </c>
      <c r="H384" s="26"/>
      <c r="I384" s="27"/>
      <c r="J384" s="24" t="s">
        <v>1210</v>
      </c>
      <c r="K384" s="27">
        <v>60000</v>
      </c>
      <c r="L384" s="122"/>
      <c r="M384" s="475"/>
      <c r="N384" s="475"/>
      <c r="O384" s="23"/>
      <c r="P384" s="25"/>
      <c r="Q384" s="25"/>
      <c r="R384" s="25"/>
      <c r="S384" s="25"/>
      <c r="T384" s="25"/>
      <c r="U384" s="25"/>
      <c r="V384" s="25"/>
      <c r="W384" s="28"/>
      <c r="X384" s="124"/>
    </row>
    <row r="385" spans="1:24" s="162" customFormat="1" ht="21.95" hidden="1" customHeight="1">
      <c r="A385" s="110" t="s">
        <v>767</v>
      </c>
      <c r="B385" s="110" t="s">
        <v>465</v>
      </c>
      <c r="C385" s="110" t="str">
        <f t="shared" si="57"/>
        <v>PULL BOX (SUS)150x150x100</v>
      </c>
      <c r="D385" s="99" t="s">
        <v>419</v>
      </c>
      <c r="E385" s="475">
        <f t="shared" si="55"/>
        <v>8283</v>
      </c>
      <c r="F385" s="99"/>
      <c r="G385" s="475">
        <f>G373*3</f>
        <v>8283</v>
      </c>
      <c r="H385" s="26">
        <v>1102</v>
      </c>
      <c r="I385" s="27">
        <f>I373*3</f>
        <v>25290</v>
      </c>
      <c r="J385" s="24" t="s">
        <v>605</v>
      </c>
      <c r="K385" s="27">
        <f>K373*3</f>
        <v>12600</v>
      </c>
      <c r="L385" s="122"/>
      <c r="M385" s="475"/>
      <c r="N385" s="475"/>
      <c r="O385" s="23"/>
      <c r="P385" s="25"/>
      <c r="Q385" s="25"/>
      <c r="R385" s="25"/>
      <c r="S385" s="25"/>
      <c r="T385" s="25"/>
      <c r="U385" s="25"/>
      <c r="V385" s="25"/>
      <c r="W385" s="28"/>
      <c r="X385" s="124"/>
    </row>
    <row r="386" spans="1:24" s="162" customFormat="1" ht="21.95" hidden="1" customHeight="1">
      <c r="A386" s="110" t="s">
        <v>767</v>
      </c>
      <c r="B386" s="110" t="s">
        <v>770</v>
      </c>
      <c r="C386" s="110" t="str">
        <f t="shared" si="57"/>
        <v>PULL BOX (SUS)300x300x300</v>
      </c>
      <c r="D386" s="99" t="s">
        <v>419</v>
      </c>
      <c r="E386" s="475">
        <f t="shared" si="55"/>
        <v>31923</v>
      </c>
      <c r="F386" s="99"/>
      <c r="G386" s="475">
        <f>G381*3</f>
        <v>31923</v>
      </c>
      <c r="H386" s="26">
        <v>1102</v>
      </c>
      <c r="I386" s="475">
        <f>I381*3</f>
        <v>98130</v>
      </c>
      <c r="J386" s="24" t="s">
        <v>85</v>
      </c>
      <c r="K386" s="475">
        <f>K381*3</f>
        <v>44760</v>
      </c>
      <c r="L386" s="122"/>
      <c r="M386" s="475"/>
      <c r="N386" s="475"/>
      <c r="O386" s="23"/>
      <c r="P386" s="25"/>
      <c r="Q386" s="25"/>
      <c r="R386" s="25"/>
      <c r="S386" s="25"/>
      <c r="T386" s="25"/>
      <c r="U386" s="25"/>
      <c r="V386" s="25"/>
      <c r="W386" s="28"/>
      <c r="X386" s="124"/>
    </row>
    <row r="387" spans="1:24" s="162" customFormat="1" ht="21.95" hidden="1" customHeight="1">
      <c r="A387" s="110" t="s">
        <v>1102</v>
      </c>
      <c r="B387" s="123" t="s">
        <v>1103</v>
      </c>
      <c r="C387" s="110" t="str">
        <f t="shared" si="57"/>
        <v>위샤캡104C</v>
      </c>
      <c r="D387" s="99" t="s">
        <v>419</v>
      </c>
      <c r="E387" s="475">
        <f t="shared" si="55"/>
        <v>32076</v>
      </c>
      <c r="F387" s="99"/>
      <c r="G387" s="475">
        <v>32076</v>
      </c>
      <c r="H387" s="26">
        <v>1107</v>
      </c>
      <c r="I387" s="27">
        <v>61400</v>
      </c>
      <c r="J387" s="388">
        <v>1232</v>
      </c>
      <c r="K387" s="27">
        <v>49500</v>
      </c>
      <c r="L387" s="122"/>
      <c r="M387" s="475"/>
      <c r="N387" s="475"/>
      <c r="O387" s="23"/>
      <c r="P387" s="25"/>
      <c r="Q387" s="25"/>
      <c r="R387" s="25"/>
      <c r="S387" s="25"/>
      <c r="T387" s="25"/>
      <c r="U387" s="25"/>
      <c r="V387" s="25"/>
      <c r="W387" s="28"/>
      <c r="X387" s="124"/>
    </row>
    <row r="388" spans="1:24" s="162" customFormat="1" ht="21.95" hidden="1" customHeight="1">
      <c r="A388" s="110" t="s">
        <v>566</v>
      </c>
      <c r="B388" s="110" t="s">
        <v>506</v>
      </c>
      <c r="C388" s="110" t="str">
        <f t="shared" ref="C388:C409" si="60">A388&amp;B388</f>
        <v>단로스위치(WIDE)15A 250V 1구</v>
      </c>
      <c r="D388" s="99" t="s">
        <v>419</v>
      </c>
      <c r="E388" s="475">
        <f t="shared" si="55"/>
        <v>1324</v>
      </c>
      <c r="F388" s="99"/>
      <c r="G388" s="475">
        <v>1324</v>
      </c>
      <c r="H388" s="26">
        <v>1211</v>
      </c>
      <c r="I388" s="27">
        <v>1670</v>
      </c>
      <c r="J388" s="24">
        <v>1309</v>
      </c>
      <c r="K388" s="27">
        <v>1839</v>
      </c>
      <c r="L388" s="122"/>
      <c r="M388" s="475"/>
      <c r="N388" s="475"/>
      <c r="O388" s="23"/>
      <c r="P388" s="25"/>
      <c r="Q388" s="25"/>
      <c r="R388" s="25"/>
      <c r="S388" s="25"/>
      <c r="T388" s="25"/>
      <c r="U388" s="25"/>
      <c r="V388" s="25"/>
      <c r="W388" s="28"/>
      <c r="X388" s="124" t="s">
        <v>502</v>
      </c>
    </row>
    <row r="389" spans="1:24" s="162" customFormat="1" ht="21.95" customHeight="1">
      <c r="A389" s="110" t="s">
        <v>566</v>
      </c>
      <c r="B389" s="110" t="s">
        <v>507</v>
      </c>
      <c r="C389" s="110" t="str">
        <f t="shared" si="60"/>
        <v>단로스위치(WIDE)15A 250V 2구</v>
      </c>
      <c r="D389" s="99" t="s">
        <v>419</v>
      </c>
      <c r="E389" s="475">
        <f t="shared" si="55"/>
        <v>1887</v>
      </c>
      <c r="F389" s="99"/>
      <c r="G389" s="475">
        <v>1887</v>
      </c>
      <c r="H389" s="26">
        <v>1204</v>
      </c>
      <c r="I389" s="27">
        <v>3100</v>
      </c>
      <c r="J389" s="24">
        <v>1280</v>
      </c>
      <c r="K389" s="27">
        <v>5064</v>
      </c>
      <c r="L389" s="122"/>
      <c r="M389" s="475"/>
      <c r="N389" s="475"/>
      <c r="O389" s="23"/>
      <c r="P389" s="25"/>
      <c r="Q389" s="25"/>
      <c r="R389" s="25"/>
      <c r="S389" s="25"/>
      <c r="T389" s="25"/>
      <c r="U389" s="25"/>
      <c r="V389" s="25"/>
      <c r="W389" s="28"/>
      <c r="X389" s="124" t="s">
        <v>502</v>
      </c>
    </row>
    <row r="390" spans="1:24" s="162" customFormat="1" ht="21.95" hidden="1" customHeight="1">
      <c r="A390" s="110" t="s">
        <v>566</v>
      </c>
      <c r="B390" s="110" t="s">
        <v>508</v>
      </c>
      <c r="C390" s="110" t="str">
        <f t="shared" si="60"/>
        <v>단로스위치(WIDE)15A 250V 3구</v>
      </c>
      <c r="D390" s="99" t="s">
        <v>419</v>
      </c>
      <c r="E390" s="475">
        <f t="shared" ref="E390:E440" si="61">MIN(G390,I390,K390,L390,M390)</f>
        <v>2395</v>
      </c>
      <c r="F390" s="99"/>
      <c r="G390" s="475">
        <v>2395</v>
      </c>
      <c r="H390" s="26">
        <v>1211</v>
      </c>
      <c r="I390" s="27">
        <v>3200</v>
      </c>
      <c r="J390" s="24">
        <v>1309</v>
      </c>
      <c r="K390" s="27">
        <v>3718</v>
      </c>
      <c r="L390" s="122"/>
      <c r="M390" s="475"/>
      <c r="N390" s="475"/>
      <c r="O390" s="23"/>
      <c r="P390" s="25"/>
      <c r="Q390" s="25"/>
      <c r="R390" s="25"/>
      <c r="S390" s="25"/>
      <c r="T390" s="25"/>
      <c r="U390" s="25"/>
      <c r="V390" s="25"/>
      <c r="W390" s="28"/>
      <c r="X390" s="124" t="s">
        <v>502</v>
      </c>
    </row>
    <row r="391" spans="1:24" s="162" customFormat="1" ht="21.95" hidden="1" customHeight="1">
      <c r="A391" s="110" t="s">
        <v>566</v>
      </c>
      <c r="B391" s="110" t="s">
        <v>722</v>
      </c>
      <c r="C391" s="110" t="str">
        <f t="shared" si="60"/>
        <v>단로스위치(WIDE)15A 250V 4구</v>
      </c>
      <c r="D391" s="99" t="s">
        <v>419</v>
      </c>
      <c r="E391" s="475">
        <f t="shared" si="61"/>
        <v>3353</v>
      </c>
      <c r="F391" s="99"/>
      <c r="G391" s="475">
        <v>3353</v>
      </c>
      <c r="H391" s="26">
        <v>1211</v>
      </c>
      <c r="I391" s="27">
        <v>4960</v>
      </c>
      <c r="J391" s="24">
        <v>1309</v>
      </c>
      <c r="K391" s="27">
        <v>5375</v>
      </c>
      <c r="L391" s="122"/>
      <c r="M391" s="475"/>
      <c r="N391" s="475"/>
      <c r="O391" s="23"/>
      <c r="P391" s="25"/>
      <c r="Q391" s="25"/>
      <c r="R391" s="25"/>
      <c r="S391" s="25"/>
      <c r="T391" s="25"/>
      <c r="U391" s="25"/>
      <c r="V391" s="25"/>
      <c r="W391" s="28"/>
      <c r="X391" s="124"/>
    </row>
    <row r="392" spans="1:24" s="162" customFormat="1" ht="21.95" hidden="1" customHeight="1">
      <c r="A392" s="110" t="s">
        <v>566</v>
      </c>
      <c r="B392" s="110" t="s">
        <v>534</v>
      </c>
      <c r="C392" s="110" t="str">
        <f t="shared" si="60"/>
        <v>단로스위치(WIDE)15A 250V 5구</v>
      </c>
      <c r="D392" s="99" t="s">
        <v>419</v>
      </c>
      <c r="E392" s="475">
        <f t="shared" si="61"/>
        <v>4070</v>
      </c>
      <c r="F392" s="99"/>
      <c r="G392" s="475">
        <v>4070</v>
      </c>
      <c r="H392" s="26">
        <v>1211</v>
      </c>
      <c r="I392" s="27">
        <v>5680</v>
      </c>
      <c r="J392" s="24">
        <v>1309</v>
      </c>
      <c r="K392" s="27">
        <v>6247</v>
      </c>
      <c r="L392" s="122"/>
      <c r="M392" s="475"/>
      <c r="N392" s="475"/>
      <c r="O392" s="23"/>
      <c r="P392" s="25"/>
      <c r="Q392" s="25"/>
      <c r="R392" s="25"/>
      <c r="S392" s="25"/>
      <c r="T392" s="25"/>
      <c r="U392" s="25"/>
      <c r="V392" s="25"/>
      <c r="W392" s="28"/>
      <c r="X392" s="124"/>
    </row>
    <row r="393" spans="1:24" s="162" customFormat="1" ht="21.95" hidden="1" customHeight="1">
      <c r="A393" s="110" t="s">
        <v>566</v>
      </c>
      <c r="B393" s="110" t="s">
        <v>721</v>
      </c>
      <c r="C393" s="110" t="str">
        <f t="shared" si="60"/>
        <v>단로스위치(WIDE)15A 250V 6구</v>
      </c>
      <c r="D393" s="99" t="s">
        <v>419</v>
      </c>
      <c r="E393" s="475">
        <f t="shared" si="61"/>
        <v>5700</v>
      </c>
      <c r="F393" s="99"/>
      <c r="G393" s="475">
        <v>5700</v>
      </c>
      <c r="H393" s="26">
        <v>1211</v>
      </c>
      <c r="I393" s="27">
        <v>6400</v>
      </c>
      <c r="J393" s="24">
        <v>1309</v>
      </c>
      <c r="K393" s="27">
        <v>6247</v>
      </c>
      <c r="L393" s="122"/>
      <c r="M393" s="475"/>
      <c r="N393" s="475"/>
      <c r="O393" s="23"/>
      <c r="P393" s="25"/>
      <c r="Q393" s="25"/>
      <c r="R393" s="25"/>
      <c r="S393" s="25"/>
      <c r="T393" s="25"/>
      <c r="U393" s="25"/>
      <c r="V393" s="25"/>
      <c r="W393" s="28"/>
      <c r="X393" s="124"/>
    </row>
    <row r="394" spans="1:24" s="162" customFormat="1" ht="21.95" hidden="1" customHeight="1">
      <c r="A394" s="110" t="s">
        <v>1680</v>
      </c>
      <c r="B394" s="110" t="s">
        <v>506</v>
      </c>
      <c r="C394" s="110" t="str">
        <f t="shared" si="60"/>
        <v>삼로스위치(WIDE)15A 250V 1구</v>
      </c>
      <c r="D394" s="99" t="s">
        <v>419</v>
      </c>
      <c r="E394" s="475">
        <f t="shared" si="61"/>
        <v>1727</v>
      </c>
      <c r="F394" s="99"/>
      <c r="G394" s="475">
        <v>1727</v>
      </c>
      <c r="H394" s="26">
        <v>1211</v>
      </c>
      <c r="I394" s="27">
        <v>2411</v>
      </c>
      <c r="J394" s="24">
        <v>1309</v>
      </c>
      <c r="K394" s="27">
        <v>2776</v>
      </c>
      <c r="L394" s="122"/>
      <c r="M394" s="475"/>
      <c r="N394" s="475"/>
      <c r="O394" s="23"/>
      <c r="P394" s="25"/>
      <c r="Q394" s="25"/>
      <c r="R394" s="25"/>
      <c r="S394" s="25"/>
      <c r="T394" s="25"/>
      <c r="U394" s="25"/>
      <c r="V394" s="25"/>
      <c r="W394" s="28"/>
      <c r="X394" s="124" t="s">
        <v>502</v>
      </c>
    </row>
    <row r="395" spans="1:24" s="162" customFormat="1" ht="21.95" hidden="1" customHeight="1">
      <c r="A395" s="110" t="s">
        <v>567</v>
      </c>
      <c r="B395" s="110" t="s">
        <v>121</v>
      </c>
      <c r="C395" s="110" t="str">
        <f t="shared" si="60"/>
        <v>삼로스위치(WIDE)15A 250V 2구</v>
      </c>
      <c r="D395" s="99" t="s">
        <v>419</v>
      </c>
      <c r="E395" s="475">
        <f t="shared" si="61"/>
        <v>2250</v>
      </c>
      <c r="F395" s="99"/>
      <c r="G395" s="475">
        <v>2250</v>
      </c>
      <c r="H395" s="26">
        <v>1211</v>
      </c>
      <c r="I395" s="27">
        <v>3670</v>
      </c>
      <c r="J395" s="24">
        <v>1309</v>
      </c>
      <c r="K395" s="27">
        <v>4682</v>
      </c>
      <c r="L395" s="122"/>
      <c r="M395" s="475"/>
      <c r="N395" s="475"/>
      <c r="O395" s="23"/>
      <c r="P395" s="25"/>
      <c r="Q395" s="25"/>
      <c r="R395" s="25"/>
      <c r="S395" s="25"/>
      <c r="T395" s="25"/>
      <c r="U395" s="25"/>
      <c r="V395" s="25"/>
      <c r="W395" s="28"/>
      <c r="X395" s="124" t="s">
        <v>502</v>
      </c>
    </row>
    <row r="396" spans="1:24" s="162" customFormat="1" ht="21.95" hidden="1" customHeight="1">
      <c r="A396" s="110" t="s">
        <v>141</v>
      </c>
      <c r="B396" s="110" t="s">
        <v>142</v>
      </c>
      <c r="C396" s="110" t="str">
        <f t="shared" si="60"/>
        <v>일괄소등스위치전등용</v>
      </c>
      <c r="D396" s="99" t="s">
        <v>419</v>
      </c>
      <c r="E396" s="475">
        <f t="shared" si="61"/>
        <v>56000</v>
      </c>
      <c r="F396" s="99"/>
      <c r="G396" s="475"/>
      <c r="H396" s="26">
        <v>1211</v>
      </c>
      <c r="I396" s="27">
        <v>56000</v>
      </c>
      <c r="J396" s="24"/>
      <c r="K396" s="27"/>
      <c r="L396" s="122"/>
      <c r="M396" s="475"/>
      <c r="N396" s="475"/>
      <c r="O396" s="23"/>
      <c r="P396" s="25"/>
      <c r="Q396" s="25"/>
      <c r="R396" s="25"/>
      <c r="S396" s="25"/>
      <c r="T396" s="25"/>
      <c r="U396" s="25"/>
      <c r="V396" s="25"/>
      <c r="W396" s="28"/>
      <c r="X396" s="124"/>
    </row>
    <row r="397" spans="1:24" s="162" customFormat="1" ht="21.95" hidden="1" customHeight="1">
      <c r="A397" s="110" t="s">
        <v>1244</v>
      </c>
      <c r="B397" s="110" t="s">
        <v>1245</v>
      </c>
      <c r="C397" s="110" t="str">
        <f>A397&amp;B397</f>
        <v>재실감지센서15A</v>
      </c>
      <c r="D397" s="99" t="s">
        <v>419</v>
      </c>
      <c r="E397" s="475">
        <f>MIN(G397,I397,K397,L397,M397)</f>
        <v>70000</v>
      </c>
      <c r="F397" s="99"/>
      <c r="G397" s="475"/>
      <c r="H397" s="26">
        <v>1219</v>
      </c>
      <c r="I397" s="27">
        <v>70000</v>
      </c>
      <c r="J397" s="24">
        <v>1326</v>
      </c>
      <c r="K397" s="27">
        <v>72000</v>
      </c>
      <c r="L397" s="122"/>
      <c r="M397" s="475"/>
      <c r="N397" s="475"/>
      <c r="O397" s="23"/>
      <c r="P397" s="25"/>
      <c r="Q397" s="25"/>
      <c r="R397" s="25"/>
      <c r="S397" s="25"/>
      <c r="T397" s="25"/>
      <c r="U397" s="25"/>
      <c r="V397" s="25"/>
      <c r="W397" s="28"/>
      <c r="X397" s="124"/>
    </row>
    <row r="398" spans="1:24" s="162" customFormat="1" ht="21.95" hidden="1" customHeight="1">
      <c r="A398" s="110" t="s">
        <v>1222</v>
      </c>
      <c r="B398" s="110" t="s">
        <v>1223</v>
      </c>
      <c r="C398" s="110" t="str">
        <f t="shared" ref="C398" si="62">A398&amp;B398</f>
        <v>가로등방수접속함ELB내장</v>
      </c>
      <c r="D398" s="99" t="s">
        <v>419</v>
      </c>
      <c r="E398" s="475">
        <f>MIN(G398,I398,K398,L398,M398)</f>
        <v>55000</v>
      </c>
      <c r="F398" s="99"/>
      <c r="G398" s="475"/>
      <c r="H398" s="26">
        <v>1246</v>
      </c>
      <c r="I398" s="27">
        <v>55000</v>
      </c>
      <c r="J398" s="24" t="s">
        <v>1567</v>
      </c>
      <c r="K398" s="27">
        <v>55000</v>
      </c>
      <c r="L398" s="122"/>
      <c r="M398" s="475"/>
      <c r="N398" s="475"/>
      <c r="O398" s="23"/>
      <c r="P398" s="25"/>
      <c r="Q398" s="25"/>
      <c r="R398" s="25"/>
      <c r="S398" s="25"/>
      <c r="T398" s="25"/>
      <c r="U398" s="25"/>
      <c r="V398" s="25"/>
      <c r="W398" s="28"/>
      <c r="X398" s="124"/>
    </row>
    <row r="399" spans="1:24" s="162" customFormat="1" ht="21.95" hidden="1" customHeight="1">
      <c r="A399" s="110" t="s">
        <v>509</v>
      </c>
      <c r="B399" s="110" t="s">
        <v>506</v>
      </c>
      <c r="C399" s="110" t="str">
        <f t="shared" si="60"/>
        <v>접지콘센트15A 250V 1구</v>
      </c>
      <c r="D399" s="99" t="s">
        <v>419</v>
      </c>
      <c r="E399" s="475">
        <f t="shared" si="61"/>
        <v>935</v>
      </c>
      <c r="F399" s="99"/>
      <c r="G399" s="475">
        <v>935</v>
      </c>
      <c r="H399" s="26">
        <v>1213</v>
      </c>
      <c r="I399" s="27">
        <v>1760</v>
      </c>
      <c r="J399" s="24">
        <v>1309</v>
      </c>
      <c r="K399" s="27">
        <v>1523</v>
      </c>
      <c r="L399" s="122"/>
      <c r="M399" s="475"/>
      <c r="N399" s="475"/>
      <c r="O399" s="23"/>
      <c r="P399" s="25"/>
      <c r="Q399" s="25"/>
      <c r="R399" s="25"/>
      <c r="S399" s="25"/>
      <c r="T399" s="25"/>
      <c r="U399" s="25"/>
      <c r="V399" s="25"/>
      <c r="W399" s="28"/>
      <c r="X399" s="124" t="s">
        <v>502</v>
      </c>
    </row>
    <row r="400" spans="1:24" s="162" customFormat="1" ht="21.95" hidden="1" customHeight="1">
      <c r="A400" s="110" t="s">
        <v>509</v>
      </c>
      <c r="B400" s="110" t="s">
        <v>507</v>
      </c>
      <c r="C400" s="110" t="str">
        <f t="shared" si="60"/>
        <v>접지콘센트15A 250V 2구</v>
      </c>
      <c r="D400" s="99" t="s">
        <v>419</v>
      </c>
      <c r="E400" s="475">
        <f t="shared" si="61"/>
        <v>1385</v>
      </c>
      <c r="F400" s="99"/>
      <c r="G400" s="475">
        <v>1385</v>
      </c>
      <c r="H400" s="26">
        <v>1213</v>
      </c>
      <c r="I400" s="27">
        <v>1920</v>
      </c>
      <c r="J400" s="24">
        <v>1309</v>
      </c>
      <c r="K400" s="27">
        <v>1879</v>
      </c>
      <c r="L400" s="122"/>
      <c r="M400" s="475"/>
      <c r="N400" s="475"/>
      <c r="O400" s="23"/>
      <c r="P400" s="25"/>
      <c r="Q400" s="25"/>
      <c r="R400" s="25"/>
      <c r="S400" s="25"/>
      <c r="T400" s="25"/>
      <c r="U400" s="25"/>
      <c r="V400" s="25"/>
      <c r="W400" s="28"/>
      <c r="X400" s="124" t="s">
        <v>502</v>
      </c>
    </row>
    <row r="401" spans="1:24" s="162" customFormat="1" ht="21.95" hidden="1" customHeight="1">
      <c r="A401" s="110" t="s">
        <v>522</v>
      </c>
      <c r="B401" s="110" t="s">
        <v>506</v>
      </c>
      <c r="C401" s="110" t="str">
        <f t="shared" si="60"/>
        <v>접지콘센트(방우형)15A 250V 1구</v>
      </c>
      <c r="D401" s="99" t="s">
        <v>419</v>
      </c>
      <c r="E401" s="475">
        <f t="shared" si="61"/>
        <v>2037</v>
      </c>
      <c r="F401" s="99"/>
      <c r="G401" s="475">
        <v>2037</v>
      </c>
      <c r="H401" s="26">
        <v>1212</v>
      </c>
      <c r="I401" s="27">
        <v>3567</v>
      </c>
      <c r="J401" s="24">
        <v>1309</v>
      </c>
      <c r="K401" s="27">
        <v>2773</v>
      </c>
      <c r="L401" s="122"/>
      <c r="M401" s="475"/>
      <c r="N401" s="475"/>
      <c r="O401" s="23"/>
      <c r="P401" s="25"/>
      <c r="Q401" s="25"/>
      <c r="R401" s="25"/>
      <c r="S401" s="25"/>
      <c r="T401" s="25"/>
      <c r="U401" s="25"/>
      <c r="V401" s="25"/>
      <c r="W401" s="28"/>
      <c r="X401" s="124" t="s">
        <v>502</v>
      </c>
    </row>
    <row r="402" spans="1:24" s="162" customFormat="1" ht="21.95" hidden="1" customHeight="1">
      <c r="A402" s="110" t="s">
        <v>522</v>
      </c>
      <c r="B402" s="110" t="s">
        <v>507</v>
      </c>
      <c r="C402" s="110" t="str">
        <f t="shared" si="60"/>
        <v>접지콘센트(방우형)15A 250V 2구</v>
      </c>
      <c r="D402" s="99" t="s">
        <v>419</v>
      </c>
      <c r="E402" s="475">
        <f t="shared" si="61"/>
        <v>2123</v>
      </c>
      <c r="F402" s="99"/>
      <c r="G402" s="475">
        <v>2123</v>
      </c>
      <c r="H402" s="26">
        <v>1212</v>
      </c>
      <c r="I402" s="27">
        <v>4251</v>
      </c>
      <c r="J402" s="24">
        <v>1309</v>
      </c>
      <c r="K402" s="27">
        <v>3088</v>
      </c>
      <c r="L402" s="122"/>
      <c r="M402" s="475"/>
      <c r="N402" s="475"/>
      <c r="O402" s="23"/>
      <c r="P402" s="25"/>
      <c r="Q402" s="25"/>
      <c r="R402" s="25"/>
      <c r="S402" s="25"/>
      <c r="T402" s="25"/>
      <c r="U402" s="25"/>
      <c r="V402" s="25"/>
      <c r="W402" s="28"/>
      <c r="X402" s="124" t="s">
        <v>502</v>
      </c>
    </row>
    <row r="403" spans="1:24" s="162" customFormat="1" ht="21.95" hidden="1" customHeight="1">
      <c r="A403" s="110" t="s">
        <v>248</v>
      </c>
      <c r="B403" s="110" t="s">
        <v>506</v>
      </c>
      <c r="C403" s="110" t="str">
        <f t="shared" si="60"/>
        <v>접지콘센트(노출형)15A 250V 1구</v>
      </c>
      <c r="D403" s="99" t="s">
        <v>419</v>
      </c>
      <c r="E403" s="475">
        <f t="shared" si="61"/>
        <v>1230</v>
      </c>
      <c r="F403" s="99"/>
      <c r="G403" s="475">
        <v>1230</v>
      </c>
      <c r="H403" s="26">
        <v>1212</v>
      </c>
      <c r="I403" s="27">
        <v>1734</v>
      </c>
      <c r="J403" s="24">
        <v>1309</v>
      </c>
      <c r="K403" s="27">
        <v>1587</v>
      </c>
      <c r="L403" s="122"/>
      <c r="M403" s="475"/>
      <c r="N403" s="475"/>
      <c r="O403" s="23"/>
      <c r="P403" s="25"/>
      <c r="Q403" s="25"/>
      <c r="R403" s="25"/>
      <c r="S403" s="25"/>
      <c r="T403" s="25"/>
      <c r="U403" s="25"/>
      <c r="V403" s="25"/>
      <c r="W403" s="28"/>
      <c r="X403" s="124"/>
    </row>
    <row r="404" spans="1:24" s="162" customFormat="1" ht="21.95" hidden="1" customHeight="1">
      <c r="A404" s="110" t="s">
        <v>248</v>
      </c>
      <c r="B404" s="110" t="s">
        <v>761</v>
      </c>
      <c r="C404" s="110" t="str">
        <f t="shared" si="60"/>
        <v>접지콘센트(노출형)15A 250V 2구</v>
      </c>
      <c r="D404" s="99" t="s">
        <v>419</v>
      </c>
      <c r="E404" s="475">
        <f t="shared" si="61"/>
        <v>1480</v>
      </c>
      <c r="F404" s="99"/>
      <c r="G404" s="475">
        <v>1480</v>
      </c>
      <c r="H404" s="26">
        <v>1212</v>
      </c>
      <c r="I404" s="27">
        <v>2567</v>
      </c>
      <c r="J404" s="24">
        <v>1309</v>
      </c>
      <c r="K404" s="27">
        <v>2196</v>
      </c>
      <c r="L404" s="122"/>
      <c r="M404" s="475"/>
      <c r="N404" s="475"/>
      <c r="O404" s="23"/>
      <c r="P404" s="25"/>
      <c r="Q404" s="25"/>
      <c r="R404" s="25"/>
      <c r="S404" s="25"/>
      <c r="T404" s="25"/>
      <c r="U404" s="25"/>
      <c r="V404" s="25"/>
      <c r="W404" s="28"/>
      <c r="X404" s="124"/>
    </row>
    <row r="405" spans="1:24" s="162" customFormat="1" ht="21.95" hidden="1" customHeight="1">
      <c r="A405" s="110" t="s">
        <v>763</v>
      </c>
      <c r="B405" s="110" t="s">
        <v>507</v>
      </c>
      <c r="C405" s="110" t="str">
        <f t="shared" si="60"/>
        <v>누전차단기부착콘센트15A 250V 2구</v>
      </c>
      <c r="D405" s="99" t="s">
        <v>419</v>
      </c>
      <c r="E405" s="475">
        <f t="shared" si="61"/>
        <v>21584</v>
      </c>
      <c r="F405" s="99"/>
      <c r="G405" s="475"/>
      <c r="H405" s="26">
        <v>1200</v>
      </c>
      <c r="I405" s="27">
        <v>21584</v>
      </c>
      <c r="J405" s="24"/>
      <c r="K405" s="27"/>
      <c r="L405" s="122"/>
      <c r="M405" s="475"/>
      <c r="N405" s="475"/>
      <c r="O405" s="23"/>
      <c r="P405" s="25"/>
      <c r="Q405" s="25"/>
      <c r="R405" s="25"/>
      <c r="S405" s="25"/>
      <c r="T405" s="25"/>
      <c r="U405" s="25"/>
      <c r="V405" s="25"/>
      <c r="W405" s="28"/>
      <c r="X405" s="124"/>
    </row>
    <row r="406" spans="1:24" s="162" customFormat="1" ht="21.95" hidden="1" customHeight="1">
      <c r="A406" s="110" t="s">
        <v>277</v>
      </c>
      <c r="B406" s="110" t="s">
        <v>1681</v>
      </c>
      <c r="C406" s="110" t="str">
        <f t="shared" si="60"/>
        <v>대기전력차단콘센트15A 250V 3구</v>
      </c>
      <c r="D406" s="99" t="s">
        <v>419</v>
      </c>
      <c r="E406" s="475">
        <f t="shared" si="61"/>
        <v>44000</v>
      </c>
      <c r="F406" s="99"/>
      <c r="G406" s="475"/>
      <c r="H406" s="26">
        <v>1211</v>
      </c>
      <c r="I406" s="27">
        <v>44000</v>
      </c>
      <c r="J406" s="24"/>
      <c r="K406" s="27"/>
      <c r="L406" s="122">
        <v>46000</v>
      </c>
      <c r="M406" s="475"/>
      <c r="N406" s="475"/>
      <c r="O406" s="23"/>
      <c r="P406" s="25"/>
      <c r="Q406" s="25"/>
      <c r="R406" s="25"/>
      <c r="S406" s="25"/>
      <c r="T406" s="25"/>
      <c r="U406" s="25"/>
      <c r="V406" s="25"/>
      <c r="W406" s="28"/>
      <c r="X406" s="124"/>
    </row>
    <row r="407" spans="1:24" s="162" customFormat="1" ht="21.95" hidden="1" customHeight="1">
      <c r="A407" s="110" t="s">
        <v>277</v>
      </c>
      <c r="B407" s="110" t="s">
        <v>4</v>
      </c>
      <c r="C407" s="110" t="str">
        <f t="shared" si="60"/>
        <v>대기전력차단콘센트15A 250V 3구</v>
      </c>
      <c r="D407" s="99" t="s">
        <v>419</v>
      </c>
      <c r="E407" s="475">
        <f t="shared" si="61"/>
        <v>59550</v>
      </c>
      <c r="F407" s="99"/>
      <c r="G407" s="475"/>
      <c r="H407" s="26">
        <v>1212</v>
      </c>
      <c r="I407" s="27">
        <v>59550</v>
      </c>
      <c r="J407" s="24"/>
      <c r="K407" s="27"/>
      <c r="L407" s="122"/>
      <c r="M407" s="475"/>
      <c r="N407" s="475"/>
      <c r="O407" s="23"/>
      <c r="P407" s="25"/>
      <c r="Q407" s="25"/>
      <c r="R407" s="25"/>
      <c r="S407" s="25"/>
      <c r="T407" s="25"/>
      <c r="U407" s="25"/>
      <c r="V407" s="25"/>
      <c r="W407" s="28"/>
      <c r="X407" s="124"/>
    </row>
    <row r="408" spans="1:24" s="162" customFormat="1" ht="21.95" hidden="1" customHeight="1">
      <c r="A408" s="110" t="s">
        <v>1095</v>
      </c>
      <c r="B408" s="110" t="s">
        <v>122</v>
      </c>
      <c r="C408" s="110" t="str">
        <f t="shared" si="60"/>
        <v>FLOOR BOX전열2구</v>
      </c>
      <c r="D408" s="99" t="s">
        <v>419</v>
      </c>
      <c r="E408" s="475">
        <f t="shared" si="61"/>
        <v>23000</v>
      </c>
      <c r="F408" s="99"/>
      <c r="G408" s="475"/>
      <c r="H408" s="26"/>
      <c r="I408" s="27"/>
      <c r="J408" s="24" t="s">
        <v>1096</v>
      </c>
      <c r="K408" s="27">
        <v>23000</v>
      </c>
      <c r="L408" s="122"/>
      <c r="M408" s="475"/>
      <c r="N408" s="475"/>
      <c r="O408" s="23"/>
      <c r="P408" s="25"/>
      <c r="Q408" s="25"/>
      <c r="R408" s="25"/>
      <c r="S408" s="25"/>
      <c r="T408" s="25"/>
      <c r="U408" s="25"/>
      <c r="V408" s="25"/>
      <c r="W408" s="28"/>
      <c r="X408" s="124" t="s">
        <v>502</v>
      </c>
    </row>
    <row r="409" spans="1:24" s="162" customFormat="1" ht="21.95" hidden="1" customHeight="1">
      <c r="A409" s="110" t="s">
        <v>597</v>
      </c>
      <c r="B409" s="110" t="s">
        <v>122</v>
      </c>
      <c r="C409" s="110" t="str">
        <f t="shared" si="60"/>
        <v>SYSTEM BOX(매입형)전열2구</v>
      </c>
      <c r="D409" s="99" t="s">
        <v>419</v>
      </c>
      <c r="E409" s="475">
        <f t="shared" si="61"/>
        <v>55452</v>
      </c>
      <c r="F409" s="99"/>
      <c r="G409" s="475">
        <v>55452</v>
      </c>
      <c r="H409" s="26">
        <v>1120</v>
      </c>
      <c r="I409" s="27">
        <v>66010</v>
      </c>
      <c r="J409" s="24"/>
      <c r="K409" s="27"/>
      <c r="L409" s="122"/>
      <c r="M409" s="475"/>
      <c r="N409" s="475"/>
      <c r="O409" s="23"/>
      <c r="P409" s="25"/>
      <c r="Q409" s="25"/>
      <c r="R409" s="25"/>
      <c r="S409" s="25"/>
      <c r="T409" s="25"/>
      <c r="U409" s="25"/>
      <c r="V409" s="25"/>
      <c r="W409" s="28"/>
      <c r="X409" s="124" t="s">
        <v>502</v>
      </c>
    </row>
    <row r="410" spans="1:24" s="162" customFormat="1" ht="21.95" hidden="1" customHeight="1">
      <c r="A410" s="110" t="s">
        <v>115</v>
      </c>
      <c r="B410" s="110" t="s">
        <v>122</v>
      </c>
      <c r="C410" s="110" t="str">
        <f t="shared" ref="C410:C416" si="63">A410&amp;B410</f>
        <v>SYSTEM BOX(A/F형)전열2구</v>
      </c>
      <c r="D410" s="99" t="s">
        <v>419</v>
      </c>
      <c r="E410" s="475">
        <f t="shared" si="61"/>
        <v>29700</v>
      </c>
      <c r="F410" s="99"/>
      <c r="G410" s="475">
        <v>29700</v>
      </c>
      <c r="H410" s="26"/>
      <c r="I410" s="27"/>
      <c r="J410" s="24"/>
      <c r="K410" s="27"/>
      <c r="L410" s="122"/>
      <c r="M410" s="475"/>
      <c r="N410" s="475"/>
      <c r="O410" s="23"/>
      <c r="P410" s="25"/>
      <c r="Q410" s="25"/>
      <c r="R410" s="25"/>
      <c r="S410" s="25"/>
      <c r="T410" s="25"/>
      <c r="U410" s="25"/>
      <c r="V410" s="25"/>
      <c r="W410" s="28"/>
      <c r="X410" s="124" t="s">
        <v>502</v>
      </c>
    </row>
    <row r="411" spans="1:24" s="162" customFormat="1" ht="21.95" hidden="1" customHeight="1">
      <c r="A411" s="110" t="s">
        <v>949</v>
      </c>
      <c r="B411" s="110" t="s">
        <v>950</v>
      </c>
      <c r="C411" s="110" t="str">
        <f t="shared" si="63"/>
        <v>BLANK PLATE1개용</v>
      </c>
      <c r="D411" s="99" t="s">
        <v>419</v>
      </c>
      <c r="E411" s="475">
        <f t="shared" si="61"/>
        <v>471</v>
      </c>
      <c r="F411" s="99"/>
      <c r="G411" s="475"/>
      <c r="H411" s="26">
        <v>1211</v>
      </c>
      <c r="I411" s="27">
        <v>471</v>
      </c>
      <c r="J411" s="24" t="s">
        <v>958</v>
      </c>
      <c r="K411" s="27">
        <v>495</v>
      </c>
      <c r="L411" s="122"/>
      <c r="M411" s="475"/>
      <c r="N411" s="475"/>
      <c r="O411" s="23"/>
      <c r="P411" s="25"/>
      <c r="Q411" s="25"/>
      <c r="R411" s="25"/>
      <c r="S411" s="25"/>
      <c r="T411" s="25"/>
      <c r="U411" s="25"/>
      <c r="V411" s="25"/>
      <c r="W411" s="28"/>
      <c r="X411" s="124" t="s">
        <v>502</v>
      </c>
    </row>
    <row r="412" spans="1:24" s="162" customFormat="1" ht="21.75" hidden="1" customHeight="1">
      <c r="A412" s="110" t="s">
        <v>535</v>
      </c>
      <c r="B412" s="110" t="s">
        <v>951</v>
      </c>
      <c r="C412" s="110" t="str">
        <f t="shared" si="63"/>
        <v>AL DUCTW:50xH:35x1.2t</v>
      </c>
      <c r="D412" s="99" t="s">
        <v>419</v>
      </c>
      <c r="E412" s="475">
        <f t="shared" si="61"/>
        <v>5040</v>
      </c>
      <c r="F412" s="99"/>
      <c r="G412" s="475">
        <v>5040</v>
      </c>
      <c r="H412" s="26">
        <v>1106</v>
      </c>
      <c r="I412" s="27">
        <v>6500</v>
      </c>
      <c r="J412" s="24" t="s">
        <v>1094</v>
      </c>
      <c r="K412" s="27">
        <v>8000</v>
      </c>
      <c r="L412" s="122"/>
      <c r="M412" s="475"/>
      <c r="N412" s="475"/>
      <c r="O412" s="23"/>
      <c r="P412" s="25"/>
      <c r="Q412" s="25"/>
      <c r="R412" s="25"/>
      <c r="S412" s="25"/>
      <c r="T412" s="25"/>
      <c r="U412" s="25"/>
      <c r="V412" s="25"/>
      <c r="W412" s="28"/>
      <c r="X412" s="124"/>
    </row>
    <row r="413" spans="1:24" s="162" customFormat="1" ht="21.75" hidden="1" customHeight="1">
      <c r="A413" s="110" t="s">
        <v>535</v>
      </c>
      <c r="B413" s="110" t="s">
        <v>1173</v>
      </c>
      <c r="C413" s="110" t="str">
        <f>A413&amp;B413</f>
        <v>AL DUCTW:60xH:60x1.2t</v>
      </c>
      <c r="D413" s="99" t="s">
        <v>1176</v>
      </c>
      <c r="E413" s="475">
        <f t="shared" si="61"/>
        <v>7760</v>
      </c>
      <c r="F413" s="99"/>
      <c r="G413" s="475">
        <v>7760</v>
      </c>
      <c r="H413" s="26">
        <v>1106</v>
      </c>
      <c r="I413" s="27">
        <v>10000</v>
      </c>
      <c r="J413" s="24" t="s">
        <v>1184</v>
      </c>
      <c r="K413" s="27">
        <v>12000</v>
      </c>
      <c r="L413" s="122"/>
      <c r="M413" s="475"/>
      <c r="N413" s="475"/>
      <c r="O413" s="23"/>
      <c r="P413" s="25"/>
      <c r="Q413" s="25"/>
      <c r="R413" s="25"/>
      <c r="S413" s="25"/>
      <c r="T413" s="25"/>
      <c r="U413" s="25"/>
      <c r="V413" s="25"/>
      <c r="W413" s="28"/>
      <c r="X413" s="124"/>
    </row>
    <row r="414" spans="1:24" s="162" customFormat="1" ht="21.75" hidden="1" customHeight="1">
      <c r="A414" s="110" t="s">
        <v>1174</v>
      </c>
      <c r="B414" s="110" t="s">
        <v>1175</v>
      </c>
      <c r="C414" s="110" t="str">
        <f>A414&amp;B414</f>
        <v>AL DUCT ELBOW60mm, ㄱ,ㄴ,T형</v>
      </c>
      <c r="D414" s="99" t="s">
        <v>419</v>
      </c>
      <c r="E414" s="475">
        <f t="shared" si="61"/>
        <v>7370</v>
      </c>
      <c r="F414" s="99"/>
      <c r="G414" s="475">
        <v>7370</v>
      </c>
      <c r="H414" s="26"/>
      <c r="I414" s="27"/>
      <c r="J414" s="24" t="s">
        <v>1184</v>
      </c>
      <c r="K414" s="27">
        <v>90000</v>
      </c>
      <c r="L414" s="122"/>
      <c r="M414" s="475"/>
      <c r="N414" s="475"/>
      <c r="O414" s="23"/>
      <c r="P414" s="25"/>
      <c r="Q414" s="25"/>
      <c r="R414" s="25"/>
      <c r="S414" s="25"/>
      <c r="T414" s="25"/>
      <c r="U414" s="25"/>
      <c r="V414" s="25"/>
      <c r="W414" s="28"/>
      <c r="X414" s="124"/>
    </row>
    <row r="415" spans="1:24" s="162" customFormat="1" ht="21.95" hidden="1" customHeight="1">
      <c r="A415" s="110" t="s">
        <v>535</v>
      </c>
      <c r="B415" s="110" t="s">
        <v>1397</v>
      </c>
      <c r="C415" s="110" t="str">
        <f t="shared" si="63"/>
        <v>AL DUCTW:70xH:40</v>
      </c>
      <c r="D415" s="99" t="s">
        <v>419</v>
      </c>
      <c r="E415" s="475">
        <f t="shared" si="61"/>
        <v>7370</v>
      </c>
      <c r="F415" s="99"/>
      <c r="G415" s="475">
        <v>7370</v>
      </c>
      <c r="H415" s="26">
        <v>1106</v>
      </c>
      <c r="I415" s="27">
        <v>9500</v>
      </c>
      <c r="J415" s="24" t="s">
        <v>1185</v>
      </c>
      <c r="K415" s="27">
        <v>10000</v>
      </c>
      <c r="L415" s="122"/>
      <c r="M415" s="475"/>
      <c r="N415" s="475"/>
      <c r="O415" s="23"/>
      <c r="P415" s="25"/>
      <c r="Q415" s="25"/>
      <c r="R415" s="25"/>
      <c r="S415" s="25"/>
      <c r="T415" s="25"/>
      <c r="U415" s="25"/>
      <c r="V415" s="25"/>
      <c r="W415" s="28"/>
      <c r="X415" s="124"/>
    </row>
    <row r="416" spans="1:24" s="162" customFormat="1" ht="21.95" hidden="1" customHeight="1">
      <c r="A416" s="110" t="s">
        <v>535</v>
      </c>
      <c r="B416" s="110" t="s">
        <v>1398</v>
      </c>
      <c r="C416" s="110" t="str">
        <f t="shared" si="63"/>
        <v>AL DUCTW:100xH:50</v>
      </c>
      <c r="D416" s="99" t="s">
        <v>1176</v>
      </c>
      <c r="E416" s="475">
        <f t="shared" si="61"/>
        <v>10470</v>
      </c>
      <c r="F416" s="99"/>
      <c r="G416" s="475">
        <v>10470</v>
      </c>
      <c r="H416" s="26">
        <v>1106</v>
      </c>
      <c r="I416" s="27">
        <v>13500</v>
      </c>
      <c r="J416" s="24" t="s">
        <v>1185</v>
      </c>
      <c r="K416" s="27">
        <v>14000</v>
      </c>
      <c r="L416" s="122"/>
      <c r="M416" s="475"/>
      <c r="N416" s="475"/>
      <c r="O416" s="23"/>
      <c r="P416" s="25"/>
      <c r="Q416" s="25"/>
      <c r="R416" s="25"/>
      <c r="S416" s="25"/>
      <c r="T416" s="25"/>
      <c r="U416" s="25"/>
      <c r="V416" s="25"/>
      <c r="W416" s="28"/>
      <c r="X416" s="124"/>
    </row>
    <row r="417" spans="1:24" s="162" customFormat="1" ht="21.95" hidden="1" customHeight="1">
      <c r="A417" s="110" t="s">
        <v>1174</v>
      </c>
      <c r="B417" s="110" t="s">
        <v>1211</v>
      </c>
      <c r="C417" s="110" t="str">
        <f>A417&amp;B417</f>
        <v>AL DUCT ELBOW100mm, 수평 ㄱ형</v>
      </c>
      <c r="D417" s="99" t="s">
        <v>419</v>
      </c>
      <c r="E417" s="475">
        <f t="shared" si="61"/>
        <v>12000</v>
      </c>
      <c r="F417" s="99"/>
      <c r="G417" s="475"/>
      <c r="H417" s="26"/>
      <c r="I417" s="27"/>
      <c r="J417" s="24" t="s">
        <v>1216</v>
      </c>
      <c r="K417" s="27">
        <v>12000</v>
      </c>
      <c r="L417" s="122"/>
      <c r="M417" s="475"/>
      <c r="N417" s="475"/>
      <c r="O417" s="23"/>
      <c r="P417" s="25"/>
      <c r="Q417" s="25"/>
      <c r="R417" s="25"/>
      <c r="S417" s="25"/>
      <c r="T417" s="25"/>
      <c r="U417" s="25"/>
      <c r="V417" s="25"/>
      <c r="W417" s="28"/>
      <c r="X417" s="124"/>
    </row>
    <row r="418" spans="1:24" s="162" customFormat="1" ht="21.95" hidden="1" customHeight="1">
      <c r="A418" s="110" t="s">
        <v>1174</v>
      </c>
      <c r="B418" s="110" t="s">
        <v>1212</v>
      </c>
      <c r="C418" s="110" t="str">
        <f>A418&amp;B418</f>
        <v>AL DUCT ELBOW100mm, 수평 T형</v>
      </c>
      <c r="D418" s="99" t="s">
        <v>419</v>
      </c>
      <c r="E418" s="475">
        <f t="shared" si="61"/>
        <v>18000</v>
      </c>
      <c r="F418" s="99"/>
      <c r="G418" s="475"/>
      <c r="H418" s="26"/>
      <c r="I418" s="27"/>
      <c r="J418" s="24" t="s">
        <v>1216</v>
      </c>
      <c r="K418" s="27">
        <v>18000</v>
      </c>
      <c r="L418" s="122"/>
      <c r="M418" s="475"/>
      <c r="N418" s="475"/>
      <c r="O418" s="23"/>
      <c r="P418" s="25"/>
      <c r="Q418" s="25"/>
      <c r="R418" s="25"/>
      <c r="S418" s="25"/>
      <c r="T418" s="25"/>
      <c r="U418" s="25"/>
      <c r="V418" s="25"/>
      <c r="W418" s="28"/>
      <c r="X418" s="124"/>
    </row>
    <row r="419" spans="1:24" s="162" customFormat="1" ht="21.95" hidden="1" customHeight="1">
      <c r="A419" s="110" t="s">
        <v>1174</v>
      </c>
      <c r="B419" s="110" t="s">
        <v>1213</v>
      </c>
      <c r="C419" s="110" t="str">
        <f>A419&amp;B419</f>
        <v>AL DUCT ELBOW100mm, 수평 +형</v>
      </c>
      <c r="D419" s="99" t="s">
        <v>419</v>
      </c>
      <c r="E419" s="475">
        <f t="shared" si="61"/>
        <v>23000</v>
      </c>
      <c r="F419" s="99"/>
      <c r="G419" s="475"/>
      <c r="H419" s="26"/>
      <c r="I419" s="27"/>
      <c r="J419" s="24" t="s">
        <v>1216</v>
      </c>
      <c r="K419" s="27">
        <v>23000</v>
      </c>
      <c r="L419" s="122"/>
      <c r="M419" s="475"/>
      <c r="N419" s="475"/>
      <c r="O419" s="23"/>
      <c r="P419" s="25"/>
      <c r="Q419" s="25"/>
      <c r="R419" s="25"/>
      <c r="S419" s="25"/>
      <c r="T419" s="25"/>
      <c r="U419" s="25"/>
      <c r="V419" s="25"/>
      <c r="W419" s="28"/>
      <c r="X419" s="124"/>
    </row>
    <row r="420" spans="1:24" s="162" customFormat="1" ht="21.95" hidden="1" customHeight="1">
      <c r="A420" s="110" t="s">
        <v>1174</v>
      </c>
      <c r="B420" s="110" t="s">
        <v>1214</v>
      </c>
      <c r="C420" s="110" t="str">
        <f>A420&amp;B420</f>
        <v>AL DUCT ELBOW100mm, 마감</v>
      </c>
      <c r="D420" s="99" t="s">
        <v>419</v>
      </c>
      <c r="E420" s="475">
        <f t="shared" si="61"/>
        <v>2000</v>
      </c>
      <c r="F420" s="99"/>
      <c r="G420" s="475"/>
      <c r="H420" s="26"/>
      <c r="I420" s="27"/>
      <c r="J420" s="24" t="s">
        <v>1216</v>
      </c>
      <c r="K420" s="27">
        <v>2000</v>
      </c>
      <c r="L420" s="122"/>
      <c r="M420" s="475"/>
      <c r="N420" s="475"/>
      <c r="O420" s="23"/>
      <c r="P420" s="25"/>
      <c r="Q420" s="25"/>
      <c r="R420" s="25"/>
      <c r="S420" s="25"/>
      <c r="T420" s="25"/>
      <c r="U420" s="25"/>
      <c r="V420" s="25"/>
      <c r="W420" s="28"/>
      <c r="X420" s="124"/>
    </row>
    <row r="421" spans="1:24" s="162" customFormat="1" ht="21.95" hidden="1" customHeight="1">
      <c r="A421" s="110"/>
      <c r="B421" s="110"/>
      <c r="C421" s="110"/>
      <c r="D421" s="99"/>
      <c r="E421" s="475"/>
      <c r="F421" s="99"/>
      <c r="G421" s="475"/>
      <c r="H421" s="26"/>
      <c r="I421" s="27"/>
      <c r="J421" s="24"/>
      <c r="K421" s="27"/>
      <c r="L421" s="122"/>
      <c r="M421" s="475"/>
      <c r="N421" s="475"/>
      <c r="O421" s="23"/>
      <c r="P421" s="25"/>
      <c r="Q421" s="25"/>
      <c r="R421" s="25"/>
      <c r="S421" s="25"/>
      <c r="T421" s="25"/>
      <c r="U421" s="25"/>
      <c r="V421" s="25"/>
      <c r="W421" s="28"/>
      <c r="X421" s="124"/>
    </row>
    <row r="422" spans="1:24" s="162" customFormat="1" ht="21.95" hidden="1" customHeight="1">
      <c r="A422" s="110"/>
      <c r="B422" s="110"/>
      <c r="C422" s="110"/>
      <c r="D422" s="99"/>
      <c r="E422" s="475"/>
      <c r="F422" s="99"/>
      <c r="G422" s="475"/>
      <c r="H422" s="26"/>
      <c r="I422" s="27"/>
      <c r="J422" s="24"/>
      <c r="K422" s="27"/>
      <c r="L422" s="122"/>
      <c r="M422" s="475"/>
      <c r="N422" s="475"/>
      <c r="O422" s="23"/>
      <c r="P422" s="25"/>
      <c r="Q422" s="25"/>
      <c r="R422" s="25"/>
      <c r="S422" s="25"/>
      <c r="T422" s="25"/>
      <c r="U422" s="25"/>
      <c r="V422" s="25"/>
      <c r="W422" s="28"/>
      <c r="X422" s="124"/>
    </row>
    <row r="423" spans="1:24" s="162" customFormat="1" ht="21.95" hidden="1" customHeight="1">
      <c r="A423" s="110"/>
      <c r="B423" s="110"/>
      <c r="C423" s="110"/>
      <c r="D423" s="99"/>
      <c r="E423" s="475"/>
      <c r="F423" s="99"/>
      <c r="G423" s="475"/>
      <c r="H423" s="26"/>
      <c r="I423" s="27"/>
      <c r="J423" s="24"/>
      <c r="K423" s="27"/>
      <c r="L423" s="122"/>
      <c r="M423" s="475"/>
      <c r="N423" s="475"/>
      <c r="O423" s="23"/>
      <c r="P423" s="25"/>
      <c r="Q423" s="25"/>
      <c r="R423" s="25"/>
      <c r="S423" s="25"/>
      <c r="T423" s="25"/>
      <c r="U423" s="25"/>
      <c r="V423" s="25"/>
      <c r="W423" s="28"/>
      <c r="X423" s="124"/>
    </row>
    <row r="424" spans="1:24" s="162" customFormat="1" ht="21.95" hidden="1" customHeight="1">
      <c r="A424" s="110" t="s">
        <v>1174</v>
      </c>
      <c r="B424" s="110" t="s">
        <v>1177</v>
      </c>
      <c r="C424" s="110" t="str">
        <f>A424&amp;B424</f>
        <v>AL DUCT ELBOW100mm, ㄱ,ㄴ,T형</v>
      </c>
      <c r="D424" s="99" t="s">
        <v>419</v>
      </c>
      <c r="E424" s="475">
        <f t="shared" si="61"/>
        <v>9700</v>
      </c>
      <c r="F424" s="99"/>
      <c r="G424" s="475">
        <v>9700</v>
      </c>
      <c r="H424" s="26">
        <v>1106</v>
      </c>
      <c r="I424" s="27">
        <v>12500</v>
      </c>
      <c r="J424" s="24" t="s">
        <v>1185</v>
      </c>
      <c r="K424" s="27">
        <v>14000</v>
      </c>
      <c r="L424" s="122"/>
      <c r="M424" s="475"/>
      <c r="N424" s="475"/>
      <c r="O424" s="23"/>
      <c r="P424" s="25"/>
      <c r="Q424" s="25"/>
      <c r="R424" s="25"/>
      <c r="S424" s="25"/>
      <c r="T424" s="25"/>
      <c r="U424" s="25"/>
      <c r="V424" s="25"/>
      <c r="W424" s="28"/>
      <c r="X424" s="124"/>
    </row>
    <row r="425" spans="1:24" s="162" customFormat="1" ht="21.95" hidden="1" customHeight="1">
      <c r="A425" s="110" t="s">
        <v>535</v>
      </c>
      <c r="B425" s="110" t="s">
        <v>1052</v>
      </c>
      <c r="C425" s="110" t="str">
        <f>A425&amp;B425</f>
        <v>AL DUCTW:150xH:100x1.2t</v>
      </c>
      <c r="D425" s="99" t="s">
        <v>419</v>
      </c>
      <c r="E425" s="475">
        <f t="shared" si="61"/>
        <v>21720</v>
      </c>
      <c r="F425" s="99"/>
      <c r="G425" s="475">
        <v>21720</v>
      </c>
      <c r="H425" s="26">
        <v>1106</v>
      </c>
      <c r="I425" s="27">
        <v>28000</v>
      </c>
      <c r="J425" s="24" t="s">
        <v>1185</v>
      </c>
      <c r="K425" s="27">
        <v>29000</v>
      </c>
      <c r="L425" s="122"/>
      <c r="M425" s="475"/>
      <c r="N425" s="475"/>
      <c r="O425" s="23"/>
      <c r="P425" s="25"/>
      <c r="Q425" s="25"/>
      <c r="R425" s="25"/>
      <c r="S425" s="25"/>
      <c r="T425" s="25"/>
      <c r="U425" s="25"/>
      <c r="V425" s="25"/>
      <c r="W425" s="28"/>
      <c r="X425" s="124"/>
    </row>
    <row r="426" spans="1:24" s="162" customFormat="1" ht="21.95" hidden="1" customHeight="1">
      <c r="A426" s="110" t="s">
        <v>565</v>
      </c>
      <c r="B426" s="110" t="s">
        <v>836</v>
      </c>
      <c r="C426" s="110" t="str">
        <f>A426&amp;B426</f>
        <v>U-CHANNEL41x41x2.6t</v>
      </c>
      <c r="D426" s="99" t="s">
        <v>1217</v>
      </c>
      <c r="E426" s="383">
        <f t="shared" si="61"/>
        <v>2618</v>
      </c>
      <c r="F426" s="99"/>
      <c r="G426" s="475">
        <v>2618</v>
      </c>
      <c r="H426" s="26">
        <v>1123</v>
      </c>
      <c r="I426" s="27">
        <v>6500</v>
      </c>
      <c r="J426" s="24"/>
      <c r="K426" s="27"/>
      <c r="L426" s="122"/>
      <c r="M426" s="383"/>
      <c r="N426" s="383"/>
      <c r="O426" s="387"/>
      <c r="P426" s="382"/>
      <c r="Q426" s="382"/>
      <c r="R426" s="382"/>
      <c r="S426" s="382"/>
      <c r="T426" s="382"/>
      <c r="U426" s="382"/>
      <c r="V426" s="382"/>
      <c r="W426" s="473"/>
      <c r="X426" s="124"/>
    </row>
    <row r="427" spans="1:24" s="162" customFormat="1" ht="21.95" hidden="1" customHeight="1">
      <c r="A427" s="110" t="s">
        <v>826</v>
      </c>
      <c r="B427" s="110" t="s">
        <v>830</v>
      </c>
      <c r="C427" s="110" t="str">
        <f t="shared" ref="C427:C434" si="64">A427&amp;B427</f>
        <v>멀티덕트(AL)COVER, 125x50</v>
      </c>
      <c r="D427" s="99" t="s">
        <v>419</v>
      </c>
      <c r="E427" s="475">
        <f t="shared" si="61"/>
        <v>9600</v>
      </c>
      <c r="F427" s="99"/>
      <c r="G427" s="475"/>
      <c r="H427" s="26">
        <v>1114</v>
      </c>
      <c r="I427" s="27">
        <v>9600</v>
      </c>
      <c r="J427" s="24"/>
      <c r="K427" s="27"/>
      <c r="L427" s="122"/>
      <c r="M427" s="475"/>
      <c r="N427" s="475"/>
      <c r="O427" s="23"/>
      <c r="P427" s="25"/>
      <c r="Q427" s="25"/>
      <c r="R427" s="25"/>
      <c r="S427" s="25"/>
      <c r="T427" s="25"/>
      <c r="U427" s="25"/>
      <c r="V427" s="25"/>
      <c r="W427" s="28"/>
      <c r="X427" s="124"/>
    </row>
    <row r="428" spans="1:24" s="162" customFormat="1" ht="21.95" hidden="1" customHeight="1">
      <c r="A428" s="110" t="s">
        <v>826</v>
      </c>
      <c r="B428" s="110" t="s">
        <v>827</v>
      </c>
      <c r="C428" s="110" t="str">
        <f t="shared" si="64"/>
        <v>멀티덕트(AL)격벽, 125x50</v>
      </c>
      <c r="D428" s="99" t="s">
        <v>419</v>
      </c>
      <c r="E428" s="475">
        <f t="shared" si="61"/>
        <v>2000</v>
      </c>
      <c r="F428" s="99"/>
      <c r="G428" s="475"/>
      <c r="H428" s="26">
        <v>1114</v>
      </c>
      <c r="I428" s="27">
        <v>2000</v>
      </c>
      <c r="J428" s="24"/>
      <c r="K428" s="27"/>
      <c r="L428" s="122"/>
      <c r="M428" s="475"/>
      <c r="N428" s="475"/>
      <c r="O428" s="23"/>
      <c r="P428" s="25"/>
      <c r="Q428" s="25"/>
      <c r="R428" s="25"/>
      <c r="S428" s="25"/>
      <c r="T428" s="25"/>
      <c r="U428" s="25"/>
      <c r="V428" s="25"/>
      <c r="W428" s="28"/>
      <c r="X428" s="124"/>
    </row>
    <row r="429" spans="1:24" s="162" customFormat="1" ht="21.95" hidden="1" customHeight="1">
      <c r="A429" s="110" t="s">
        <v>826</v>
      </c>
      <c r="B429" s="110" t="s">
        <v>832</v>
      </c>
      <c r="C429" s="110" t="str">
        <f t="shared" si="64"/>
        <v>멀티덕트(AL)V/ELBOW, 125x50</v>
      </c>
      <c r="D429" s="99" t="s">
        <v>419</v>
      </c>
      <c r="E429" s="475">
        <f t="shared" si="61"/>
        <v>20000</v>
      </c>
      <c r="F429" s="99"/>
      <c r="G429" s="475"/>
      <c r="H429" s="26">
        <v>1114</v>
      </c>
      <c r="I429" s="27">
        <v>20000</v>
      </c>
      <c r="J429" s="24"/>
      <c r="K429" s="27"/>
      <c r="L429" s="122"/>
      <c r="M429" s="475"/>
      <c r="N429" s="475"/>
      <c r="O429" s="23"/>
      <c r="P429" s="25"/>
      <c r="Q429" s="25"/>
      <c r="R429" s="25"/>
      <c r="S429" s="25"/>
      <c r="T429" s="25"/>
      <c r="U429" s="25"/>
      <c r="V429" s="25"/>
      <c r="W429" s="28"/>
      <c r="X429" s="124"/>
    </row>
    <row r="430" spans="1:24" s="162" customFormat="1" ht="21.95" hidden="1" customHeight="1">
      <c r="A430" s="110" t="s">
        <v>826</v>
      </c>
      <c r="B430" s="110" t="s">
        <v>828</v>
      </c>
      <c r="C430" s="110" t="str">
        <f t="shared" si="64"/>
        <v>멀티덕트(AL)BODY, 150x50</v>
      </c>
      <c r="D430" s="99" t="s">
        <v>419</v>
      </c>
      <c r="E430" s="475">
        <f t="shared" si="61"/>
        <v>27800</v>
      </c>
      <c r="F430" s="99"/>
      <c r="G430" s="475"/>
      <c r="H430" s="26">
        <v>1114</v>
      </c>
      <c r="I430" s="27">
        <v>27800</v>
      </c>
      <c r="J430" s="24"/>
      <c r="K430" s="27"/>
      <c r="L430" s="122"/>
      <c r="M430" s="475"/>
      <c r="N430" s="475"/>
      <c r="O430" s="23"/>
      <c r="P430" s="25"/>
      <c r="Q430" s="25"/>
      <c r="R430" s="25"/>
      <c r="S430" s="25"/>
      <c r="T430" s="25"/>
      <c r="U430" s="25"/>
      <c r="V430" s="25"/>
      <c r="W430" s="28"/>
      <c r="X430" s="124"/>
    </row>
    <row r="431" spans="1:24" s="162" customFormat="1" ht="21.95" hidden="1" customHeight="1">
      <c r="A431" s="110" t="s">
        <v>826</v>
      </c>
      <c r="B431" s="110" t="s">
        <v>831</v>
      </c>
      <c r="C431" s="110" t="str">
        <f t="shared" si="64"/>
        <v>멀티덕트(AL)COVER, 150x50</v>
      </c>
      <c r="D431" s="99" t="s">
        <v>419</v>
      </c>
      <c r="E431" s="475">
        <f t="shared" si="61"/>
        <v>11900</v>
      </c>
      <c r="F431" s="99"/>
      <c r="G431" s="475"/>
      <c r="H431" s="26">
        <v>1114</v>
      </c>
      <c r="I431" s="27">
        <v>11900</v>
      </c>
      <c r="J431" s="24"/>
      <c r="K431" s="27"/>
      <c r="L431" s="122"/>
      <c r="M431" s="475"/>
      <c r="N431" s="475"/>
      <c r="O431" s="23"/>
      <c r="P431" s="25"/>
      <c r="Q431" s="25"/>
      <c r="R431" s="25"/>
      <c r="S431" s="25"/>
      <c r="T431" s="25"/>
      <c r="U431" s="25"/>
      <c r="V431" s="25"/>
      <c r="W431" s="28"/>
      <c r="X431" s="124"/>
    </row>
    <row r="432" spans="1:24" s="162" customFormat="1" ht="21.95" hidden="1" customHeight="1">
      <c r="A432" s="110" t="s">
        <v>826</v>
      </c>
      <c r="B432" s="110" t="s">
        <v>829</v>
      </c>
      <c r="C432" s="110" t="str">
        <f t="shared" si="64"/>
        <v>멀티덕트(AL)격벽, 150x50</v>
      </c>
      <c r="D432" s="99" t="s">
        <v>419</v>
      </c>
      <c r="E432" s="475">
        <f t="shared" si="61"/>
        <v>2200</v>
      </c>
      <c r="F432" s="99"/>
      <c r="G432" s="475"/>
      <c r="H432" s="26">
        <v>1114</v>
      </c>
      <c r="I432" s="27">
        <v>2200</v>
      </c>
      <c r="J432" s="24"/>
      <c r="K432" s="27"/>
      <c r="L432" s="122"/>
      <c r="M432" s="475"/>
      <c r="N432" s="475"/>
      <c r="O432" s="23"/>
      <c r="P432" s="25"/>
      <c r="Q432" s="25"/>
      <c r="R432" s="25"/>
      <c r="S432" s="25"/>
      <c r="T432" s="25"/>
      <c r="U432" s="25"/>
      <c r="V432" s="25"/>
      <c r="W432" s="28"/>
      <c r="X432" s="124"/>
    </row>
    <row r="433" spans="1:24" s="162" customFormat="1" ht="21.95" hidden="1" customHeight="1">
      <c r="A433" s="110" t="s">
        <v>826</v>
      </c>
      <c r="B433" s="110" t="s">
        <v>833</v>
      </c>
      <c r="C433" s="110" t="str">
        <f t="shared" si="64"/>
        <v>멀티덕트(AL)V/ELBOW, 150x50</v>
      </c>
      <c r="D433" s="99" t="s">
        <v>419</v>
      </c>
      <c r="E433" s="475">
        <f t="shared" si="61"/>
        <v>24000</v>
      </c>
      <c r="F433" s="99"/>
      <c r="G433" s="475"/>
      <c r="H433" s="26">
        <v>1114</v>
      </c>
      <c r="I433" s="27">
        <v>24000</v>
      </c>
      <c r="J433" s="24"/>
      <c r="K433" s="27"/>
      <c r="L433" s="122"/>
      <c r="M433" s="475"/>
      <c r="N433" s="475"/>
      <c r="O433" s="23"/>
      <c r="P433" s="25"/>
      <c r="Q433" s="25"/>
      <c r="R433" s="25"/>
      <c r="S433" s="25"/>
      <c r="T433" s="25"/>
      <c r="U433" s="25"/>
      <c r="V433" s="25"/>
      <c r="W433" s="28"/>
      <c r="X433" s="124"/>
    </row>
    <row r="434" spans="1:24" s="162" customFormat="1" ht="21.95" hidden="1" customHeight="1">
      <c r="A434" s="110" t="s">
        <v>826</v>
      </c>
      <c r="B434" s="110" t="s">
        <v>834</v>
      </c>
      <c r="C434" s="110" t="str">
        <f t="shared" si="64"/>
        <v>멀티덕트(AL)END CAP, 150x50</v>
      </c>
      <c r="D434" s="99" t="s">
        <v>419</v>
      </c>
      <c r="E434" s="475">
        <f t="shared" si="61"/>
        <v>2400</v>
      </c>
      <c r="F434" s="99"/>
      <c r="G434" s="475"/>
      <c r="H434" s="26">
        <v>1114</v>
      </c>
      <c r="I434" s="27">
        <v>2400</v>
      </c>
      <c r="J434" s="24"/>
      <c r="K434" s="27"/>
      <c r="L434" s="122"/>
      <c r="M434" s="475"/>
      <c r="N434" s="475"/>
      <c r="O434" s="23"/>
      <c r="P434" s="25"/>
      <c r="Q434" s="25"/>
      <c r="R434" s="25"/>
      <c r="S434" s="25"/>
      <c r="T434" s="25"/>
      <c r="U434" s="25"/>
      <c r="V434" s="25"/>
      <c r="W434" s="28"/>
      <c r="X434" s="124"/>
    </row>
    <row r="435" spans="1:24" s="162" customFormat="1" ht="21.95" hidden="1" customHeight="1">
      <c r="A435" s="123" t="s">
        <v>959</v>
      </c>
      <c r="B435" s="123" t="s">
        <v>960</v>
      </c>
      <c r="C435" s="110" t="str">
        <f t="shared" ref="C435:C440" si="65">A435&amp;B435</f>
        <v>PVC몰드대, W51mmxH19mm</v>
      </c>
      <c r="D435" s="99" t="s">
        <v>419</v>
      </c>
      <c r="E435" s="475">
        <f t="shared" si="61"/>
        <v>1280</v>
      </c>
      <c r="F435" s="99"/>
      <c r="G435" s="475">
        <v>1280</v>
      </c>
      <c r="H435" s="26"/>
      <c r="I435" s="27"/>
      <c r="J435" s="24" t="s">
        <v>2</v>
      </c>
      <c r="K435" s="27">
        <v>1700</v>
      </c>
      <c r="L435" s="122"/>
      <c r="M435" s="475"/>
      <c r="N435" s="475"/>
      <c r="O435" s="23"/>
      <c r="P435" s="25"/>
      <c r="Q435" s="25"/>
      <c r="R435" s="25"/>
      <c r="S435" s="25"/>
      <c r="T435" s="25"/>
      <c r="U435" s="25"/>
      <c r="V435" s="25"/>
      <c r="W435" s="28"/>
      <c r="X435" s="124"/>
    </row>
    <row r="436" spans="1:24" s="162" customFormat="1" ht="21.95" customHeight="1">
      <c r="A436" s="110" t="s">
        <v>515</v>
      </c>
      <c r="B436" s="110" t="s">
        <v>516</v>
      </c>
      <c r="C436" s="110" t="str">
        <f t="shared" si="65"/>
        <v>RACE WAYW70xH40x1.6t</v>
      </c>
      <c r="D436" s="99" t="s">
        <v>419</v>
      </c>
      <c r="E436" s="475">
        <f t="shared" si="61"/>
        <v>3198</v>
      </c>
      <c r="F436" s="99"/>
      <c r="G436" s="475">
        <v>3198</v>
      </c>
      <c r="H436" s="26">
        <v>1115</v>
      </c>
      <c r="I436" s="27">
        <v>4120</v>
      </c>
      <c r="J436" s="24">
        <v>1206</v>
      </c>
      <c r="K436" s="27">
        <v>6780</v>
      </c>
      <c r="L436" s="122"/>
      <c r="M436" s="475"/>
      <c r="N436" s="475"/>
      <c r="O436" s="23"/>
      <c r="P436" s="25"/>
      <c r="Q436" s="25"/>
      <c r="R436" s="25"/>
      <c r="S436" s="25"/>
      <c r="T436" s="25"/>
      <c r="U436" s="25"/>
      <c r="V436" s="25"/>
      <c r="W436" s="28"/>
      <c r="X436" s="124"/>
    </row>
    <row r="437" spans="1:24" s="162" customFormat="1" ht="21.95" customHeight="1">
      <c r="A437" s="110" t="s">
        <v>517</v>
      </c>
      <c r="B437" s="110" t="s">
        <v>516</v>
      </c>
      <c r="C437" s="110" t="str">
        <f t="shared" si="65"/>
        <v>RACE WAY COVERW70xH40x1.6t</v>
      </c>
      <c r="D437" s="99" t="s">
        <v>419</v>
      </c>
      <c r="E437" s="475">
        <f t="shared" si="61"/>
        <v>1267</v>
      </c>
      <c r="F437" s="99"/>
      <c r="G437" s="475">
        <v>1267</v>
      </c>
      <c r="H437" s="26">
        <v>1115</v>
      </c>
      <c r="I437" s="27">
        <v>1590</v>
      </c>
      <c r="J437" s="24">
        <v>1206</v>
      </c>
      <c r="K437" s="27">
        <v>2760</v>
      </c>
      <c r="L437" s="122"/>
      <c r="M437" s="475"/>
      <c r="N437" s="475"/>
      <c r="O437" s="23"/>
      <c r="P437" s="25"/>
      <c r="Q437" s="25"/>
      <c r="R437" s="25"/>
      <c r="S437" s="25"/>
      <c r="T437" s="25"/>
      <c r="U437" s="25"/>
      <c r="V437" s="25"/>
      <c r="W437" s="28"/>
      <c r="X437" s="124"/>
    </row>
    <row r="438" spans="1:24" s="162" customFormat="1" ht="21.95" hidden="1" customHeight="1">
      <c r="A438" s="110" t="s">
        <v>696</v>
      </c>
      <c r="B438" s="110" t="s">
        <v>516</v>
      </c>
      <c r="C438" s="110" t="str">
        <f t="shared" si="65"/>
        <v>ELBOWW70xH40x1.6t</v>
      </c>
      <c r="D438" s="99" t="s">
        <v>419</v>
      </c>
      <c r="E438" s="475">
        <f t="shared" si="61"/>
        <v>1910</v>
      </c>
      <c r="F438" s="99"/>
      <c r="G438" s="475">
        <v>1910</v>
      </c>
      <c r="H438" s="26">
        <v>1125</v>
      </c>
      <c r="I438" s="27">
        <v>2320</v>
      </c>
      <c r="J438" s="24">
        <v>1237</v>
      </c>
      <c r="K438" s="27">
        <v>4220</v>
      </c>
      <c r="L438" s="122"/>
      <c r="M438" s="475"/>
      <c r="N438" s="475"/>
      <c r="O438" s="23"/>
      <c r="P438" s="25"/>
      <c r="Q438" s="25"/>
      <c r="R438" s="25"/>
      <c r="S438" s="25"/>
      <c r="T438" s="25"/>
      <c r="U438" s="25"/>
      <c r="V438" s="25"/>
      <c r="W438" s="28"/>
      <c r="X438" s="124"/>
    </row>
    <row r="439" spans="1:24" s="162" customFormat="1" ht="21.95" customHeight="1">
      <c r="A439" s="110" t="s">
        <v>518</v>
      </c>
      <c r="B439" s="110" t="s">
        <v>516</v>
      </c>
      <c r="C439" s="110" t="str">
        <f t="shared" si="65"/>
        <v>JOINER SETW70xH40x1.6t</v>
      </c>
      <c r="D439" s="99" t="s">
        <v>419</v>
      </c>
      <c r="E439" s="475">
        <f t="shared" si="61"/>
        <v>949</v>
      </c>
      <c r="F439" s="99"/>
      <c r="G439" s="475">
        <v>949</v>
      </c>
      <c r="H439" s="26">
        <v>1115</v>
      </c>
      <c r="I439" s="27">
        <v>950</v>
      </c>
      <c r="J439" s="24">
        <v>1206</v>
      </c>
      <c r="K439" s="27">
        <v>2020</v>
      </c>
      <c r="L439" s="122"/>
      <c r="M439" s="475"/>
      <c r="N439" s="475"/>
      <c r="O439" s="23"/>
      <c r="P439" s="25"/>
      <c r="Q439" s="25"/>
      <c r="R439" s="25"/>
      <c r="S439" s="25"/>
      <c r="T439" s="25"/>
      <c r="U439" s="25"/>
      <c r="V439" s="25"/>
      <c r="W439" s="28"/>
      <c r="X439" s="124"/>
    </row>
    <row r="440" spans="1:24" s="162" customFormat="1" ht="21.95" customHeight="1">
      <c r="A440" s="110" t="s">
        <v>1739</v>
      </c>
      <c r="B440" s="110" t="s">
        <v>1740</v>
      </c>
      <c r="C440" s="110" t="str">
        <f t="shared" si="65"/>
        <v>RACE WAY지지대A형, 70x40</v>
      </c>
      <c r="D440" s="99" t="s">
        <v>419</v>
      </c>
      <c r="E440" s="475">
        <f t="shared" si="61"/>
        <v>663</v>
      </c>
      <c r="F440" s="99"/>
      <c r="G440" s="475">
        <v>663</v>
      </c>
      <c r="H440" s="26">
        <v>1115</v>
      </c>
      <c r="I440" s="27">
        <v>860</v>
      </c>
      <c r="J440" s="24">
        <v>1206</v>
      </c>
      <c r="K440" s="27">
        <v>1260</v>
      </c>
      <c r="L440" s="122"/>
      <c r="M440" s="475"/>
      <c r="N440" s="475"/>
      <c r="O440" s="23"/>
      <c r="P440" s="25"/>
      <c r="Q440" s="25"/>
      <c r="R440" s="25"/>
      <c r="S440" s="25"/>
      <c r="T440" s="25"/>
      <c r="U440" s="25"/>
      <c r="V440" s="25"/>
      <c r="W440" s="28"/>
      <c r="X440" s="124"/>
    </row>
    <row r="441" spans="1:24" s="162" customFormat="1" ht="21.95" customHeight="1">
      <c r="A441" s="110" t="s">
        <v>520</v>
      </c>
      <c r="B441" s="110" t="s">
        <v>516</v>
      </c>
      <c r="C441" s="110" t="str">
        <f>A441&amp;B441</f>
        <v>END CAPW70xH40x1.6t</v>
      </c>
      <c r="D441" s="99" t="s">
        <v>419</v>
      </c>
      <c r="E441" s="475">
        <f>MIN(G441,I441,K441,L441,M441)</f>
        <v>537</v>
      </c>
      <c r="F441" s="99"/>
      <c r="G441" s="475">
        <v>537</v>
      </c>
      <c r="H441" s="26">
        <v>1115</v>
      </c>
      <c r="I441" s="27">
        <v>680</v>
      </c>
      <c r="J441" s="24">
        <v>1206</v>
      </c>
      <c r="K441" s="27">
        <v>1380</v>
      </c>
      <c r="L441" s="122"/>
      <c r="M441" s="475"/>
      <c r="N441" s="475"/>
      <c r="O441" s="23"/>
      <c r="P441" s="25"/>
      <c r="Q441" s="25"/>
      <c r="R441" s="25"/>
      <c r="S441" s="25"/>
      <c r="T441" s="25"/>
      <c r="U441" s="25"/>
      <c r="V441" s="25"/>
      <c r="W441" s="28"/>
      <c r="X441" s="124"/>
    </row>
    <row r="442" spans="1:24" s="525" customFormat="1" ht="21.95" hidden="1" customHeight="1">
      <c r="A442" s="528" t="s">
        <v>989</v>
      </c>
      <c r="B442" s="528" t="s">
        <v>521</v>
      </c>
      <c r="C442" s="528" t="str">
        <f>A442&amp;B442</f>
        <v>JUNCTION BOXW70xH40,3방향</v>
      </c>
      <c r="D442" s="489" t="s">
        <v>419</v>
      </c>
      <c r="E442" s="529">
        <f>MIN(G442,I442,K442,L442,M442)</f>
        <v>3470</v>
      </c>
      <c r="F442" s="489"/>
      <c r="G442" s="529">
        <v>3470</v>
      </c>
      <c r="H442" s="530">
        <v>1115</v>
      </c>
      <c r="I442" s="531">
        <v>4080</v>
      </c>
      <c r="J442" s="532">
        <v>1204</v>
      </c>
      <c r="K442" s="531">
        <v>7780</v>
      </c>
      <c r="L442" s="533"/>
      <c r="M442" s="529"/>
      <c r="N442" s="529"/>
      <c r="O442" s="534"/>
      <c r="P442" s="522"/>
      <c r="Q442" s="522"/>
      <c r="R442" s="522"/>
      <c r="S442" s="522"/>
      <c r="T442" s="522"/>
      <c r="U442" s="522"/>
      <c r="V442" s="522"/>
      <c r="W442" s="523"/>
      <c r="X442" s="524"/>
    </row>
    <row r="443" spans="1:24" s="525" customFormat="1" ht="21.95" hidden="1" customHeight="1">
      <c r="A443" s="528" t="s">
        <v>989</v>
      </c>
      <c r="B443" s="528" t="s">
        <v>1051</v>
      </c>
      <c r="C443" s="528" t="str">
        <f>A443&amp;B443</f>
        <v>JUNCTION BOXW70xH40,4방향</v>
      </c>
      <c r="D443" s="489" t="s">
        <v>419</v>
      </c>
      <c r="E443" s="529">
        <f>MIN(G443,I443,K443,L443,M443)</f>
        <v>3913</v>
      </c>
      <c r="F443" s="489"/>
      <c r="G443" s="529">
        <v>3913</v>
      </c>
      <c r="H443" s="530">
        <v>1115</v>
      </c>
      <c r="I443" s="531">
        <v>4760</v>
      </c>
      <c r="J443" s="532">
        <v>1204</v>
      </c>
      <c r="K443" s="531">
        <v>8920</v>
      </c>
      <c r="L443" s="533"/>
      <c r="M443" s="529"/>
      <c r="N443" s="529"/>
      <c r="O443" s="534"/>
      <c r="P443" s="522"/>
      <c r="Q443" s="522"/>
      <c r="R443" s="522"/>
      <c r="S443" s="522"/>
      <c r="T443" s="522"/>
      <c r="U443" s="522"/>
      <c r="V443" s="522"/>
      <c r="W443" s="523"/>
      <c r="X443" s="524"/>
    </row>
    <row r="444" spans="1:24" s="525" customFormat="1" ht="21.95" hidden="1" customHeight="1">
      <c r="A444" s="503"/>
      <c r="B444" s="528"/>
      <c r="C444" s="528"/>
      <c r="D444" s="489"/>
      <c r="E444" s="529"/>
      <c r="F444" s="489"/>
      <c r="G444" s="529"/>
      <c r="H444" s="530"/>
      <c r="I444" s="531"/>
      <c r="J444" s="532"/>
      <c r="K444" s="531"/>
      <c r="L444" s="533"/>
      <c r="M444" s="529"/>
      <c r="N444" s="529"/>
      <c r="O444" s="534"/>
      <c r="P444" s="522"/>
      <c r="Q444" s="522"/>
      <c r="R444" s="522"/>
      <c r="S444" s="522"/>
      <c r="T444" s="522"/>
      <c r="U444" s="522"/>
      <c r="V444" s="522"/>
      <c r="W444" s="523"/>
      <c r="X444" s="524"/>
    </row>
    <row r="445" spans="1:24" s="525" customFormat="1" ht="21.95" hidden="1" customHeight="1">
      <c r="A445" s="528" t="s">
        <v>515</v>
      </c>
      <c r="B445" s="528" t="s">
        <v>1299</v>
      </c>
      <c r="C445" s="528" t="str">
        <f t="shared" ref="C445:C452" si="66">A445&amp;B445</f>
        <v>RACE WAYW110xH50x1.6t</v>
      </c>
      <c r="D445" s="489" t="s">
        <v>419</v>
      </c>
      <c r="E445" s="529">
        <f t="shared" ref="E445:E452" si="67">MIN(G445,I445,K445,L445,M445)</f>
        <v>3783</v>
      </c>
      <c r="F445" s="489"/>
      <c r="G445" s="529">
        <v>3783</v>
      </c>
      <c r="H445" s="530">
        <v>1125</v>
      </c>
      <c r="I445" s="531">
        <v>4940</v>
      </c>
      <c r="J445" s="532" t="s">
        <v>1313</v>
      </c>
      <c r="K445" s="531">
        <v>4560</v>
      </c>
      <c r="L445" s="533"/>
      <c r="M445" s="529"/>
      <c r="N445" s="529"/>
      <c r="O445" s="534"/>
      <c r="P445" s="522"/>
      <c r="Q445" s="522"/>
      <c r="R445" s="522"/>
      <c r="S445" s="522"/>
      <c r="T445" s="522"/>
      <c r="U445" s="522"/>
      <c r="V445" s="522"/>
      <c r="W445" s="523"/>
      <c r="X445" s="524"/>
    </row>
    <row r="446" spans="1:24" s="525" customFormat="1" ht="21.95" hidden="1" customHeight="1">
      <c r="A446" s="528" t="s">
        <v>517</v>
      </c>
      <c r="B446" s="528" t="s">
        <v>1299</v>
      </c>
      <c r="C446" s="528" t="str">
        <f t="shared" si="66"/>
        <v>RACE WAY COVERW110xH50x1.6t</v>
      </c>
      <c r="D446" s="489" t="s">
        <v>419</v>
      </c>
      <c r="E446" s="529">
        <f t="shared" si="67"/>
        <v>1522</v>
      </c>
      <c r="F446" s="489"/>
      <c r="G446" s="529">
        <v>1522</v>
      </c>
      <c r="H446" s="530">
        <v>1125</v>
      </c>
      <c r="I446" s="531">
        <v>2060</v>
      </c>
      <c r="J446" s="532" t="s">
        <v>1313</v>
      </c>
      <c r="K446" s="531">
        <v>1920</v>
      </c>
      <c r="L446" s="533"/>
      <c r="M446" s="529"/>
      <c r="N446" s="529"/>
      <c r="O446" s="534"/>
      <c r="P446" s="522"/>
      <c r="Q446" s="522"/>
      <c r="R446" s="522"/>
      <c r="S446" s="522"/>
      <c r="T446" s="522"/>
      <c r="U446" s="522"/>
      <c r="V446" s="522"/>
      <c r="W446" s="523"/>
      <c r="X446" s="524"/>
    </row>
    <row r="447" spans="1:24" s="525" customFormat="1" ht="21.95" hidden="1" customHeight="1">
      <c r="A447" s="528" t="s">
        <v>696</v>
      </c>
      <c r="B447" s="528" t="s">
        <v>1299</v>
      </c>
      <c r="C447" s="528" t="str">
        <f t="shared" si="66"/>
        <v>ELBOWW110xH50x1.6t</v>
      </c>
      <c r="D447" s="489" t="s">
        <v>419</v>
      </c>
      <c r="E447" s="529">
        <f t="shared" si="67"/>
        <v>3900</v>
      </c>
      <c r="F447" s="489"/>
      <c r="G447" s="529"/>
      <c r="H447" s="530">
        <v>1125</v>
      </c>
      <c r="I447" s="531">
        <v>5090</v>
      </c>
      <c r="J447" s="532" t="s">
        <v>1313</v>
      </c>
      <c r="K447" s="531">
        <v>3900</v>
      </c>
      <c r="L447" s="533"/>
      <c r="M447" s="529"/>
      <c r="N447" s="529"/>
      <c r="O447" s="534"/>
      <c r="P447" s="522"/>
      <c r="Q447" s="522"/>
      <c r="R447" s="522"/>
      <c r="S447" s="522"/>
      <c r="T447" s="522"/>
      <c r="U447" s="522"/>
      <c r="V447" s="522"/>
      <c r="W447" s="523"/>
      <c r="X447" s="524"/>
    </row>
    <row r="448" spans="1:24" s="525" customFormat="1" ht="21.95" hidden="1" customHeight="1">
      <c r="A448" s="528" t="s">
        <v>518</v>
      </c>
      <c r="B448" s="528" t="s">
        <v>1299</v>
      </c>
      <c r="C448" s="528" t="str">
        <f t="shared" si="66"/>
        <v>JOINER SETW110xH50x1.6t</v>
      </c>
      <c r="D448" s="489" t="s">
        <v>419</v>
      </c>
      <c r="E448" s="529">
        <f t="shared" si="67"/>
        <v>1270</v>
      </c>
      <c r="F448" s="489"/>
      <c r="G448" s="529">
        <v>1270</v>
      </c>
      <c r="H448" s="530">
        <v>1125</v>
      </c>
      <c r="I448" s="531">
        <v>1860</v>
      </c>
      <c r="J448" s="532" t="s">
        <v>1313</v>
      </c>
      <c r="K448" s="531">
        <v>1800</v>
      </c>
      <c r="L448" s="533"/>
      <c r="M448" s="529"/>
      <c r="N448" s="529"/>
      <c r="O448" s="534"/>
      <c r="P448" s="522"/>
      <c r="Q448" s="522"/>
      <c r="R448" s="522"/>
      <c r="S448" s="522"/>
      <c r="T448" s="522"/>
      <c r="U448" s="522"/>
      <c r="V448" s="522"/>
      <c r="W448" s="523"/>
      <c r="X448" s="524"/>
    </row>
    <row r="449" spans="1:24" s="525" customFormat="1" ht="21.95" hidden="1" customHeight="1">
      <c r="A449" s="528" t="s">
        <v>519</v>
      </c>
      <c r="B449" s="528" t="s">
        <v>1299</v>
      </c>
      <c r="C449" s="528" t="str">
        <f t="shared" si="66"/>
        <v>"A"형행가W110xH50x1.6t</v>
      </c>
      <c r="D449" s="489" t="s">
        <v>419</v>
      </c>
      <c r="E449" s="529">
        <f t="shared" si="67"/>
        <v>737</v>
      </c>
      <c r="F449" s="489"/>
      <c r="G449" s="529">
        <v>737</v>
      </c>
      <c r="H449" s="530">
        <v>1125</v>
      </c>
      <c r="I449" s="531">
        <v>1190</v>
      </c>
      <c r="J449" s="532" t="s">
        <v>1313</v>
      </c>
      <c r="K449" s="531">
        <v>1420</v>
      </c>
      <c r="L449" s="533"/>
      <c r="M449" s="529"/>
      <c r="N449" s="529"/>
      <c r="O449" s="534"/>
      <c r="P449" s="522"/>
      <c r="Q449" s="522"/>
      <c r="R449" s="522"/>
      <c r="S449" s="522"/>
      <c r="T449" s="522"/>
      <c r="U449" s="522"/>
      <c r="V449" s="522"/>
      <c r="W449" s="523"/>
      <c r="X449" s="524"/>
    </row>
    <row r="450" spans="1:24" s="525" customFormat="1" ht="21.95" hidden="1" customHeight="1">
      <c r="A450" s="528" t="s">
        <v>520</v>
      </c>
      <c r="B450" s="528" t="s">
        <v>1299</v>
      </c>
      <c r="C450" s="528" t="str">
        <f t="shared" si="66"/>
        <v>END CAPW110xH50x1.6t</v>
      </c>
      <c r="D450" s="489" t="s">
        <v>419</v>
      </c>
      <c r="E450" s="529">
        <f t="shared" si="67"/>
        <v>611</v>
      </c>
      <c r="F450" s="489"/>
      <c r="G450" s="529">
        <v>611</v>
      </c>
      <c r="H450" s="530">
        <v>1125</v>
      </c>
      <c r="I450" s="531">
        <v>630</v>
      </c>
      <c r="J450" s="532" t="s">
        <v>1313</v>
      </c>
      <c r="K450" s="531">
        <v>800</v>
      </c>
      <c r="L450" s="533"/>
      <c r="M450" s="529"/>
      <c r="N450" s="529"/>
      <c r="O450" s="534"/>
      <c r="P450" s="522"/>
      <c r="Q450" s="522"/>
      <c r="R450" s="522"/>
      <c r="S450" s="522"/>
      <c r="T450" s="522"/>
      <c r="U450" s="522"/>
      <c r="V450" s="522"/>
      <c r="W450" s="523"/>
      <c r="X450" s="524"/>
    </row>
    <row r="451" spans="1:24" s="525" customFormat="1" ht="21.95" hidden="1" customHeight="1">
      <c r="A451" s="528" t="s">
        <v>989</v>
      </c>
      <c r="B451" s="528" t="s">
        <v>1300</v>
      </c>
      <c r="C451" s="528" t="str">
        <f t="shared" si="66"/>
        <v>JUNCTION BOXW110xH50,3방향</v>
      </c>
      <c r="D451" s="489" t="s">
        <v>419</v>
      </c>
      <c r="E451" s="529">
        <f t="shared" si="67"/>
        <v>5400</v>
      </c>
      <c r="F451" s="489"/>
      <c r="G451" s="529"/>
      <c r="H451" s="530">
        <v>1125</v>
      </c>
      <c r="I451" s="531">
        <v>5540</v>
      </c>
      <c r="J451" s="532" t="s">
        <v>1313</v>
      </c>
      <c r="K451" s="531">
        <v>5400</v>
      </c>
      <c r="L451" s="533"/>
      <c r="M451" s="529"/>
      <c r="N451" s="529"/>
      <c r="O451" s="534"/>
      <c r="P451" s="522"/>
      <c r="Q451" s="522"/>
      <c r="R451" s="522"/>
      <c r="S451" s="522"/>
      <c r="T451" s="522"/>
      <c r="U451" s="522"/>
      <c r="V451" s="522"/>
      <c r="W451" s="523"/>
      <c r="X451" s="524"/>
    </row>
    <row r="452" spans="1:24" s="525" customFormat="1" ht="21.95" hidden="1" customHeight="1">
      <c r="A452" s="528" t="s">
        <v>989</v>
      </c>
      <c r="B452" s="528" t="s">
        <v>1301</v>
      </c>
      <c r="C452" s="528" t="str">
        <f t="shared" si="66"/>
        <v>JUNCTION BOXW110xH50,4방향</v>
      </c>
      <c r="D452" s="489" t="s">
        <v>419</v>
      </c>
      <c r="E452" s="529">
        <f t="shared" si="67"/>
        <v>6200</v>
      </c>
      <c r="F452" s="489"/>
      <c r="G452" s="529"/>
      <c r="H452" s="530">
        <v>1125</v>
      </c>
      <c r="I452" s="531">
        <v>6400</v>
      </c>
      <c r="J452" s="532" t="s">
        <v>1313</v>
      </c>
      <c r="K452" s="531">
        <v>6200</v>
      </c>
      <c r="L452" s="533"/>
      <c r="M452" s="529"/>
      <c r="N452" s="529"/>
      <c r="O452" s="534"/>
      <c r="P452" s="522"/>
      <c r="Q452" s="522"/>
      <c r="R452" s="522"/>
      <c r="S452" s="522"/>
      <c r="T452" s="522"/>
      <c r="U452" s="522"/>
      <c r="V452" s="522"/>
      <c r="W452" s="523"/>
      <c r="X452" s="524"/>
    </row>
    <row r="453" spans="1:24" s="162" customFormat="1" ht="21.95" hidden="1" customHeight="1">
      <c r="A453" s="110" t="e">
        <f>#REF!</f>
        <v>#REF!</v>
      </c>
      <c r="B453" s="110" t="e">
        <f>#REF!</f>
        <v>#REF!</v>
      </c>
      <c r="C453" s="110" t="e">
        <f t="shared" ref="C453:C462" si="68">A453&amp;B453</f>
        <v>#REF!</v>
      </c>
      <c r="D453" s="99" t="s">
        <v>419</v>
      </c>
      <c r="E453" s="475">
        <f t="shared" ref="E453:E462" si="69">MIN(G453,I453,K453,L453,M453)</f>
        <v>39000</v>
      </c>
      <c r="F453" s="475"/>
      <c r="G453" s="475"/>
      <c r="H453" s="26"/>
      <c r="I453" s="27"/>
      <c r="J453" s="24"/>
      <c r="K453" s="27"/>
      <c r="L453" s="27">
        <f>'관급(도급자)'!F51</f>
        <v>39000</v>
      </c>
      <c r="M453" s="475"/>
      <c r="N453" s="475"/>
      <c r="O453" s="23"/>
      <c r="P453" s="25"/>
      <c r="Q453" s="25"/>
      <c r="R453" s="25"/>
      <c r="S453" s="25"/>
      <c r="T453" s="25"/>
      <c r="U453" s="25"/>
      <c r="V453" s="25"/>
      <c r="W453" s="28"/>
      <c r="X453" s="124"/>
    </row>
    <row r="454" spans="1:24" s="162" customFormat="1" ht="21.95" hidden="1" customHeight="1">
      <c r="A454" s="110" t="e">
        <f>#REF!</f>
        <v>#REF!</v>
      </c>
      <c r="B454" s="110" t="e">
        <f>#REF!</f>
        <v>#REF!</v>
      </c>
      <c r="C454" s="110" t="e">
        <f t="shared" ref="C454:C456" si="70">A454&amp;B454</f>
        <v>#REF!</v>
      </c>
      <c r="D454" s="99" t="s">
        <v>419</v>
      </c>
      <c r="E454" s="475">
        <f t="shared" ref="E454:E456" si="71">MIN(G454,I454,K454,L454,M454)</f>
        <v>79000</v>
      </c>
      <c r="F454" s="475"/>
      <c r="G454" s="475"/>
      <c r="H454" s="26"/>
      <c r="I454" s="27"/>
      <c r="J454" s="24"/>
      <c r="K454" s="27"/>
      <c r="L454" s="27">
        <f>'관급(도급자)'!F52</f>
        <v>79000</v>
      </c>
      <c r="M454" s="475"/>
      <c r="N454" s="475"/>
      <c r="O454" s="23"/>
      <c r="P454" s="25"/>
      <c r="Q454" s="25"/>
      <c r="R454" s="25"/>
      <c r="S454" s="25"/>
      <c r="T454" s="25"/>
      <c r="U454" s="25"/>
      <c r="V454" s="25"/>
      <c r="W454" s="28"/>
      <c r="X454" s="124"/>
    </row>
    <row r="455" spans="1:24" s="162" customFormat="1" ht="21.95" hidden="1" customHeight="1">
      <c r="A455" s="110" t="e">
        <f>#REF!</f>
        <v>#REF!</v>
      </c>
      <c r="B455" s="110" t="e">
        <f>#REF!</f>
        <v>#REF!</v>
      </c>
      <c r="C455" s="110" t="e">
        <f t="shared" si="70"/>
        <v>#REF!</v>
      </c>
      <c r="D455" s="99" t="s">
        <v>419</v>
      </c>
      <c r="E455" s="475">
        <f t="shared" si="71"/>
        <v>79000</v>
      </c>
      <c r="F455" s="475"/>
      <c r="G455" s="475"/>
      <c r="H455" s="26"/>
      <c r="I455" s="27"/>
      <c r="J455" s="24"/>
      <c r="K455" s="27"/>
      <c r="L455" s="27">
        <f>'관급(도급자)'!F53</f>
        <v>79000</v>
      </c>
      <c r="M455" s="475"/>
      <c r="N455" s="475"/>
      <c r="O455" s="23"/>
      <c r="P455" s="25"/>
      <c r="Q455" s="25"/>
      <c r="R455" s="25"/>
      <c r="S455" s="25"/>
      <c r="T455" s="25"/>
      <c r="U455" s="25"/>
      <c r="V455" s="25"/>
      <c r="W455" s="28"/>
      <c r="X455" s="124"/>
    </row>
    <row r="456" spans="1:24" s="162" customFormat="1" ht="21.95" hidden="1" customHeight="1">
      <c r="A456" s="110" t="e">
        <f>#REF!</f>
        <v>#REF!</v>
      </c>
      <c r="B456" s="110" t="e">
        <f>#REF!</f>
        <v>#REF!</v>
      </c>
      <c r="C456" s="110" t="e">
        <f t="shared" si="70"/>
        <v>#REF!</v>
      </c>
      <c r="D456" s="99" t="s">
        <v>419</v>
      </c>
      <c r="E456" s="475">
        <f t="shared" si="71"/>
        <v>108000</v>
      </c>
      <c r="F456" s="475"/>
      <c r="G456" s="475"/>
      <c r="H456" s="26"/>
      <c r="I456" s="27"/>
      <c r="J456" s="24"/>
      <c r="K456" s="27"/>
      <c r="L456" s="27">
        <f>'관급(도급자)'!F54</f>
        <v>108000</v>
      </c>
      <c r="M456" s="475"/>
      <c r="N456" s="475"/>
      <c r="O456" s="23"/>
      <c r="P456" s="25"/>
      <c r="Q456" s="25"/>
      <c r="R456" s="25"/>
      <c r="S456" s="25"/>
      <c r="T456" s="25"/>
      <c r="U456" s="25"/>
      <c r="V456" s="25"/>
      <c r="W456" s="28"/>
      <c r="X456" s="124"/>
    </row>
    <row r="457" spans="1:24" s="162" customFormat="1" ht="21.95" hidden="1" customHeight="1">
      <c r="A457" s="110" t="e">
        <f>#REF!</f>
        <v>#REF!</v>
      </c>
      <c r="B457" s="110" t="e">
        <f>#REF!</f>
        <v>#REF!</v>
      </c>
      <c r="C457" s="110" t="e">
        <f t="shared" ref="C457" si="72">A457&amp;B457</f>
        <v>#REF!</v>
      </c>
      <c r="D457" s="99" t="s">
        <v>419</v>
      </c>
      <c r="E457" s="475">
        <f t="shared" ref="E457" si="73">MIN(G457,I457,K457,L457,M457)</f>
        <v>215000</v>
      </c>
      <c r="F457" s="475"/>
      <c r="G457" s="475"/>
      <c r="H457" s="26"/>
      <c r="I457" s="27"/>
      <c r="J457" s="24"/>
      <c r="K457" s="27"/>
      <c r="L457" s="27">
        <f>'관급(도급자)'!F55</f>
        <v>215000</v>
      </c>
      <c r="M457" s="475"/>
      <c r="N457" s="475"/>
      <c r="O457" s="23"/>
      <c r="P457" s="25"/>
      <c r="Q457" s="25"/>
      <c r="R457" s="25"/>
      <c r="S457" s="25"/>
      <c r="T457" s="25"/>
      <c r="U457" s="25"/>
      <c r="V457" s="25"/>
      <c r="W457" s="28"/>
      <c r="X457" s="124"/>
    </row>
    <row r="458" spans="1:24" s="162" customFormat="1" ht="21.95" hidden="1" customHeight="1">
      <c r="A458" s="110" t="e">
        <f>#REF!</f>
        <v>#REF!</v>
      </c>
      <c r="B458" s="110" t="e">
        <f>#REF!</f>
        <v>#REF!</v>
      </c>
      <c r="C458" s="110" t="e">
        <f t="shared" ref="C458:C459" si="74">A458&amp;B458</f>
        <v>#REF!</v>
      </c>
      <c r="D458" s="99" t="s">
        <v>419</v>
      </c>
      <c r="E458" s="475">
        <f t="shared" ref="E458:E459" si="75">MIN(G458,I458,K458,L458,M458)</f>
        <v>52000</v>
      </c>
      <c r="F458" s="475"/>
      <c r="G458" s="475"/>
      <c r="H458" s="26"/>
      <c r="I458" s="27"/>
      <c r="J458" s="24"/>
      <c r="K458" s="27"/>
      <c r="L458" s="27">
        <f>'관급(도급자)'!F56</f>
        <v>52000</v>
      </c>
      <c r="M458" s="475"/>
      <c r="N458" s="475"/>
      <c r="O458" s="23"/>
      <c r="P458" s="25"/>
      <c r="Q458" s="25"/>
      <c r="R458" s="25"/>
      <c r="S458" s="25"/>
      <c r="T458" s="25"/>
      <c r="U458" s="25"/>
      <c r="V458" s="25"/>
      <c r="W458" s="28"/>
      <c r="X458" s="124"/>
    </row>
    <row r="459" spans="1:24" s="162" customFormat="1" ht="21.95" hidden="1" customHeight="1">
      <c r="A459" s="110" t="e">
        <f>#REF!</f>
        <v>#REF!</v>
      </c>
      <c r="B459" s="110" t="e">
        <f>#REF!</f>
        <v>#REF!</v>
      </c>
      <c r="C459" s="110" t="e">
        <f t="shared" si="74"/>
        <v>#REF!</v>
      </c>
      <c r="D459" s="99" t="s">
        <v>419</v>
      </c>
      <c r="E459" s="475">
        <f t="shared" si="75"/>
        <v>180000</v>
      </c>
      <c r="F459" s="475"/>
      <c r="G459" s="475"/>
      <c r="H459" s="26"/>
      <c r="I459" s="27"/>
      <c r="J459" s="24"/>
      <c r="K459" s="27"/>
      <c r="L459" s="27">
        <f>'관급(도급자)'!F57</f>
        <v>180000</v>
      </c>
      <c r="M459" s="475"/>
      <c r="N459" s="475"/>
      <c r="O459" s="23"/>
      <c r="P459" s="25"/>
      <c r="Q459" s="25"/>
      <c r="R459" s="25"/>
      <c r="S459" s="25"/>
      <c r="T459" s="25"/>
      <c r="U459" s="25"/>
      <c r="V459" s="25"/>
      <c r="W459" s="28"/>
      <c r="X459" s="124"/>
    </row>
    <row r="460" spans="1:24" s="525" customFormat="1" ht="21.95" hidden="1" customHeight="1">
      <c r="A460" s="110" t="s">
        <v>1743</v>
      </c>
      <c r="B460" s="110" t="s">
        <v>1753</v>
      </c>
      <c r="C460" s="110" t="str">
        <f t="shared" ref="C460" si="76">A460&amp;B460</f>
        <v>수평도체알루미늄 8mm</v>
      </c>
      <c r="D460" s="99" t="s">
        <v>419</v>
      </c>
      <c r="E460" s="475">
        <f t="shared" ref="E460" si="77">MIN(G460,I460,K460,L460,M460)</f>
        <v>4230</v>
      </c>
      <c r="F460" s="475"/>
      <c r="G460" s="475"/>
      <c r="H460" s="26">
        <v>1267</v>
      </c>
      <c r="I460" s="27">
        <v>4230</v>
      </c>
      <c r="J460" s="24"/>
      <c r="K460" s="27"/>
      <c r="L460" s="27"/>
      <c r="M460" s="475"/>
      <c r="N460" s="475"/>
      <c r="O460" s="23"/>
      <c r="P460" s="522"/>
      <c r="Q460" s="522"/>
      <c r="R460" s="522"/>
      <c r="S460" s="522"/>
      <c r="T460" s="522"/>
      <c r="U460" s="522"/>
      <c r="V460" s="522"/>
      <c r="W460" s="523"/>
      <c r="X460" s="524"/>
    </row>
    <row r="461" spans="1:24" s="525" customFormat="1" ht="21.95" hidden="1" customHeight="1">
      <c r="A461" s="110" t="s">
        <v>1744</v>
      </c>
      <c r="B461" s="110" t="s">
        <v>1754</v>
      </c>
      <c r="C461" s="110" t="str">
        <f t="shared" si="68"/>
        <v>Expansion Joint이완수축방지용(편조형)</v>
      </c>
      <c r="D461" s="99" t="s">
        <v>419</v>
      </c>
      <c r="E461" s="475">
        <f t="shared" si="69"/>
        <v>6500</v>
      </c>
      <c r="F461" s="475"/>
      <c r="G461" s="475"/>
      <c r="H461" s="26">
        <v>1267</v>
      </c>
      <c r="I461" s="27">
        <v>6500</v>
      </c>
      <c r="J461" s="24"/>
      <c r="K461" s="27"/>
      <c r="L461" s="27"/>
      <c r="M461" s="475"/>
      <c r="N461" s="475"/>
      <c r="O461" s="23"/>
      <c r="P461" s="522"/>
      <c r="Q461" s="522"/>
      <c r="R461" s="522"/>
      <c r="S461" s="522"/>
      <c r="T461" s="522"/>
      <c r="U461" s="522"/>
      <c r="V461" s="522"/>
      <c r="W461" s="523"/>
      <c r="X461" s="524"/>
    </row>
    <row r="462" spans="1:24" s="525" customFormat="1" ht="21.95" hidden="1" customHeight="1">
      <c r="A462" s="110" t="s">
        <v>1745</v>
      </c>
      <c r="B462" s="110" t="s">
        <v>1755</v>
      </c>
      <c r="C462" s="110" t="str">
        <f t="shared" si="68"/>
        <v>도선지지금구S1 (알루미늄)</v>
      </c>
      <c r="D462" s="99" t="s">
        <v>419</v>
      </c>
      <c r="E462" s="475">
        <f t="shared" si="69"/>
        <v>7000</v>
      </c>
      <c r="F462" s="99"/>
      <c r="G462" s="475"/>
      <c r="H462" s="26">
        <v>1267</v>
      </c>
      <c r="I462" s="27">
        <v>7000</v>
      </c>
      <c r="J462" s="24"/>
      <c r="K462" s="27"/>
      <c r="L462" s="122"/>
      <c r="M462" s="475"/>
      <c r="N462" s="475"/>
      <c r="O462" s="23"/>
      <c r="P462" s="522"/>
      <c r="Q462" s="522"/>
      <c r="R462" s="522"/>
      <c r="S462" s="522"/>
      <c r="T462" s="522"/>
      <c r="U462" s="522"/>
      <c r="V462" s="522"/>
      <c r="W462" s="523"/>
      <c r="X462" s="524" t="s">
        <v>502</v>
      </c>
    </row>
    <row r="463" spans="1:24" s="525" customFormat="1" ht="21.95" hidden="1" customHeight="1">
      <c r="A463" s="110" t="s">
        <v>1746</v>
      </c>
      <c r="B463" s="110" t="s">
        <v>1756</v>
      </c>
      <c r="C463" s="110" t="str">
        <f t="shared" ref="C463:C519" si="78">A463&amp;B463</f>
        <v>연결콘넥터(볼트조임형)ㅡ,+ (알루미늄)</v>
      </c>
      <c r="D463" s="99" t="s">
        <v>419</v>
      </c>
      <c r="E463" s="475">
        <f t="shared" ref="E463:E469" si="79">MIN(G463,I463,K463,L463,M463)</f>
        <v>4500</v>
      </c>
      <c r="F463" s="99"/>
      <c r="G463" s="475"/>
      <c r="H463" s="26">
        <v>1267</v>
      </c>
      <c r="I463" s="27">
        <v>4500</v>
      </c>
      <c r="J463" s="24"/>
      <c r="K463" s="475"/>
      <c r="L463" s="122"/>
      <c r="M463" s="475"/>
      <c r="N463" s="475"/>
      <c r="O463" s="23"/>
      <c r="P463" s="522"/>
      <c r="Q463" s="522"/>
      <c r="R463" s="522"/>
      <c r="S463" s="522"/>
      <c r="T463" s="522"/>
      <c r="U463" s="522"/>
      <c r="V463" s="522"/>
      <c r="W463" s="523"/>
      <c r="X463" s="524"/>
    </row>
    <row r="464" spans="1:24" s="525" customFormat="1" ht="21.95" hidden="1" customHeight="1">
      <c r="A464" s="110" t="s">
        <v>1747</v>
      </c>
      <c r="B464" s="110" t="s">
        <v>1757</v>
      </c>
      <c r="C464" s="110" t="str">
        <f t="shared" si="78"/>
        <v>칼블럭(지지금구 고정)지지금구 * 2</v>
      </c>
      <c r="D464" s="99" t="s">
        <v>419</v>
      </c>
      <c r="E464" s="475">
        <f t="shared" si="79"/>
        <v>200</v>
      </c>
      <c r="F464" s="99"/>
      <c r="G464" s="475"/>
      <c r="H464" s="26">
        <v>1267</v>
      </c>
      <c r="I464" s="475">
        <v>200</v>
      </c>
      <c r="J464" s="24"/>
      <c r="K464" s="475"/>
      <c r="L464" s="175"/>
      <c r="M464" s="475"/>
      <c r="N464" s="475"/>
      <c r="O464" s="23"/>
      <c r="P464" s="522"/>
      <c r="Q464" s="522"/>
      <c r="R464" s="522"/>
      <c r="S464" s="522"/>
      <c r="T464" s="522"/>
      <c r="U464" s="522"/>
      <c r="V464" s="522"/>
      <c r="W464" s="523"/>
      <c r="X464" s="524"/>
    </row>
    <row r="465" spans="1:24" s="525" customFormat="1" ht="21.95" hidden="1" customHeight="1">
      <c r="A465" s="110" t="s">
        <v>1748</v>
      </c>
      <c r="B465" s="110" t="s">
        <v>1758</v>
      </c>
      <c r="C465" s="110" t="str">
        <f t="shared" si="78"/>
        <v>S2피뢰침1M(알루미늄)</v>
      </c>
      <c r="D465" s="99" t="s">
        <v>419</v>
      </c>
      <c r="E465" s="475">
        <f t="shared" si="79"/>
        <v>60000</v>
      </c>
      <c r="F465" s="99"/>
      <c r="G465" s="475"/>
      <c r="H465" s="26">
        <v>1267</v>
      </c>
      <c r="I465" s="475">
        <v>60000</v>
      </c>
      <c r="J465" s="24"/>
      <c r="K465" s="475"/>
      <c r="L465" s="175"/>
      <c r="M465" s="475"/>
      <c r="N465" s="475"/>
      <c r="O465" s="23"/>
      <c r="P465" s="522"/>
      <c r="Q465" s="522"/>
      <c r="R465" s="522"/>
      <c r="S465" s="522"/>
      <c r="T465" s="522"/>
      <c r="U465" s="522"/>
      <c r="V465" s="522"/>
      <c r="W465" s="523"/>
      <c r="X465" s="524"/>
    </row>
    <row r="466" spans="1:24" s="525" customFormat="1" ht="21.95" hidden="1" customHeight="1">
      <c r="A466" s="110" t="s">
        <v>1749</v>
      </c>
      <c r="B466" s="110" t="s">
        <v>1759</v>
      </c>
      <c r="C466" s="110" t="str">
        <f t="shared" si="78"/>
        <v>구조체접속철근클램프</v>
      </c>
      <c r="D466" s="99" t="s">
        <v>419</v>
      </c>
      <c r="E466" s="475">
        <f t="shared" si="79"/>
        <v>7500</v>
      </c>
      <c r="F466" s="99"/>
      <c r="G466" s="475"/>
      <c r="H466" s="26">
        <v>1267</v>
      </c>
      <c r="I466" s="475">
        <v>7500</v>
      </c>
      <c r="J466" s="24"/>
      <c r="K466" s="475"/>
      <c r="L466" s="175"/>
      <c r="M466" s="475"/>
      <c r="N466" s="475"/>
      <c r="O466" s="23"/>
      <c r="P466" s="522"/>
      <c r="Q466" s="522"/>
      <c r="R466" s="522"/>
      <c r="S466" s="522"/>
      <c r="T466" s="522"/>
      <c r="U466" s="522"/>
      <c r="V466" s="522"/>
      <c r="W466" s="523"/>
      <c r="X466" s="524"/>
    </row>
    <row r="467" spans="1:24" s="525" customFormat="1" ht="21.95" hidden="1" customHeight="1">
      <c r="A467" s="110" t="s">
        <v>1750</v>
      </c>
      <c r="B467" s="110" t="s">
        <v>1762</v>
      </c>
      <c r="C467" s="110" t="str">
        <f t="shared" si="78"/>
        <v>그라운드 패드-</v>
      </c>
      <c r="D467" s="99" t="s">
        <v>419</v>
      </c>
      <c r="E467" s="475">
        <f t="shared" ref="E467" si="80">MIN(G467,I467,K467,L467,M467)</f>
        <v>30000</v>
      </c>
      <c r="F467" s="99"/>
      <c r="G467" s="475"/>
      <c r="H467" s="26">
        <v>1267</v>
      </c>
      <c r="I467" s="475">
        <v>30000</v>
      </c>
      <c r="J467" s="24"/>
      <c r="K467" s="475"/>
      <c r="L467" s="175"/>
      <c r="M467" s="475"/>
      <c r="N467" s="475"/>
      <c r="O467" s="23"/>
      <c r="P467" s="522"/>
      <c r="Q467" s="522"/>
      <c r="R467" s="522"/>
      <c r="S467" s="522"/>
      <c r="T467" s="522"/>
      <c r="U467" s="522"/>
      <c r="V467" s="522"/>
      <c r="W467" s="523"/>
      <c r="X467" s="524"/>
    </row>
    <row r="468" spans="1:24" s="525" customFormat="1" ht="21.95" hidden="1" customHeight="1">
      <c r="A468" s="110" t="s">
        <v>1751</v>
      </c>
      <c r="B468" s="110" t="s">
        <v>1762</v>
      </c>
      <c r="C468" s="110" t="str">
        <f t="shared" si="78"/>
        <v>이질슬리브-</v>
      </c>
      <c r="D468" s="99" t="s">
        <v>419</v>
      </c>
      <c r="E468" s="475">
        <f t="shared" si="79"/>
        <v>12000</v>
      </c>
      <c r="F468" s="99"/>
      <c r="G468" s="475"/>
      <c r="H468" s="26">
        <v>1267</v>
      </c>
      <c r="I468" s="475">
        <v>12000</v>
      </c>
      <c r="J468" s="24"/>
      <c r="K468" s="475"/>
      <c r="L468" s="175"/>
      <c r="M468" s="475"/>
      <c r="N468" s="475"/>
      <c r="O468" s="23"/>
      <c r="P468" s="522"/>
      <c r="Q468" s="522"/>
      <c r="R468" s="522"/>
      <c r="S468" s="522"/>
      <c r="T468" s="522"/>
      <c r="U468" s="522"/>
      <c r="V468" s="522"/>
      <c r="W468" s="523"/>
      <c r="X468" s="524"/>
    </row>
    <row r="469" spans="1:24" s="525" customFormat="1" ht="21.95" hidden="1" customHeight="1">
      <c r="A469" s="110" t="s">
        <v>1752</v>
      </c>
      <c r="B469" s="110" t="s">
        <v>1760</v>
      </c>
      <c r="C469" s="110" t="str">
        <f t="shared" si="78"/>
        <v>번디클램프철근콘크리트 내 죔쇠접속</v>
      </c>
      <c r="D469" s="99" t="s">
        <v>419</v>
      </c>
      <c r="E469" s="475">
        <f t="shared" si="79"/>
        <v>7700</v>
      </c>
      <c r="F469" s="99"/>
      <c r="G469" s="475"/>
      <c r="H469" s="26"/>
      <c r="I469" s="475"/>
      <c r="J469" s="24"/>
      <c r="K469" s="475"/>
      <c r="L469" s="175">
        <v>7700</v>
      </c>
      <c r="M469" s="475"/>
      <c r="N469" s="475"/>
      <c r="O469" s="23"/>
      <c r="P469" s="522"/>
      <c r="Q469" s="522"/>
      <c r="R469" s="522"/>
      <c r="S469" s="522"/>
      <c r="T469" s="522"/>
      <c r="U469" s="522"/>
      <c r="V469" s="522"/>
      <c r="W469" s="523"/>
      <c r="X469" s="524"/>
    </row>
    <row r="470" spans="1:24" s="162" customFormat="1" ht="21.95" hidden="1" customHeight="1">
      <c r="A470" s="110" t="s">
        <v>1773</v>
      </c>
      <c r="B470" s="110" t="s">
        <v>1774</v>
      </c>
      <c r="C470" s="110" t="str">
        <f t="shared" si="78"/>
        <v>접지선포설나동선 70SQ</v>
      </c>
      <c r="D470" s="99" t="s">
        <v>595</v>
      </c>
      <c r="E470" s="475">
        <f>MIN(G470,I470,K470,L470,M470)</f>
        <v>10995</v>
      </c>
      <c r="F470" s="475"/>
      <c r="G470" s="475"/>
      <c r="H470" s="26">
        <v>1180</v>
      </c>
      <c r="I470" s="27">
        <v>10995</v>
      </c>
      <c r="J470" s="24"/>
      <c r="K470" s="27"/>
      <c r="L470" s="27"/>
      <c r="M470" s="475"/>
      <c r="N470" s="475"/>
      <c r="O470" s="23"/>
      <c r="P470" s="25"/>
      <c r="Q470" s="25"/>
      <c r="R470" s="25"/>
      <c r="S470" s="25"/>
      <c r="T470" s="25"/>
      <c r="U470" s="25"/>
      <c r="V470" s="25"/>
      <c r="W470" s="28"/>
      <c r="X470" s="124"/>
    </row>
    <row r="471" spans="1:24" s="162" customFormat="1" ht="21.95" hidden="1" customHeight="1">
      <c r="A471" s="110" t="s">
        <v>1759</v>
      </c>
      <c r="B471" s="110" t="s">
        <v>1749</v>
      </c>
      <c r="C471" s="110" t="str">
        <f t="shared" si="78"/>
        <v>철근클램프구조체접속</v>
      </c>
      <c r="D471" s="99" t="s">
        <v>595</v>
      </c>
      <c r="E471" s="475">
        <f>MIN(G471,I471,K471,L471,M471)</f>
        <v>7500</v>
      </c>
      <c r="F471" s="99"/>
      <c r="G471" s="475"/>
      <c r="H471" s="26">
        <v>1267</v>
      </c>
      <c r="I471" s="475">
        <v>7500</v>
      </c>
      <c r="J471" s="24"/>
      <c r="K471" s="475"/>
      <c r="L471" s="175"/>
      <c r="M471" s="475"/>
      <c r="N471" s="475"/>
      <c r="O471" s="23"/>
      <c r="P471" s="25"/>
      <c r="Q471" s="25"/>
      <c r="R471" s="25"/>
      <c r="S471" s="25"/>
      <c r="T471" s="25"/>
      <c r="U471" s="25"/>
      <c r="V471" s="25"/>
      <c r="W471" s="28"/>
      <c r="X471" s="124"/>
    </row>
    <row r="472" spans="1:24" s="162" customFormat="1" ht="21.95" hidden="1" customHeight="1">
      <c r="A472" s="110" t="s">
        <v>1763</v>
      </c>
      <c r="B472" s="110" t="s">
        <v>1764</v>
      </c>
      <c r="C472" s="110" t="str">
        <f t="shared" si="78"/>
        <v>C형 슬리브70SQ</v>
      </c>
      <c r="D472" s="99" t="s">
        <v>595</v>
      </c>
      <c r="E472" s="475">
        <f t="shared" ref="E472:E473" si="81">MIN(G472,I472,K472,L472,M472)</f>
        <v>3200</v>
      </c>
      <c r="F472" s="475"/>
      <c r="G472" s="475"/>
      <c r="H472" s="26"/>
      <c r="I472" s="27"/>
      <c r="J472" s="24"/>
      <c r="K472" s="27"/>
      <c r="L472" s="27">
        <v>3200</v>
      </c>
      <c r="M472" s="475"/>
      <c r="N472" s="475"/>
      <c r="O472" s="23"/>
      <c r="P472" s="25"/>
      <c r="Q472" s="25"/>
      <c r="R472" s="25"/>
      <c r="S472" s="25"/>
      <c r="T472" s="25"/>
      <c r="U472" s="25"/>
      <c r="V472" s="25"/>
      <c r="W472" s="28"/>
      <c r="X472" s="124"/>
    </row>
    <row r="473" spans="1:24" s="162" customFormat="1" ht="21.95" hidden="1" customHeight="1">
      <c r="A473" s="110" t="s">
        <v>1765</v>
      </c>
      <c r="B473" s="110" t="s">
        <v>1766</v>
      </c>
      <c r="C473" s="110" t="str">
        <f t="shared" si="78"/>
        <v>SUS접지모듈(SGM-1200)(100×100×1200)</v>
      </c>
      <c r="D473" s="99" t="s">
        <v>595</v>
      </c>
      <c r="E473" s="475">
        <f t="shared" si="81"/>
        <v>450000</v>
      </c>
      <c r="F473" s="475"/>
      <c r="G473" s="475"/>
      <c r="H473" s="26">
        <v>1267</v>
      </c>
      <c r="I473" s="27">
        <v>450000</v>
      </c>
      <c r="J473" s="24"/>
      <c r="K473" s="27"/>
      <c r="L473" s="27"/>
      <c r="M473" s="475"/>
      <c r="N473" s="475"/>
      <c r="O473" s="23"/>
      <c r="P473" s="25"/>
      <c r="Q473" s="25"/>
      <c r="R473" s="25"/>
      <c r="S473" s="25"/>
      <c r="T473" s="25"/>
      <c r="U473" s="25"/>
      <c r="V473" s="25"/>
      <c r="W473" s="28"/>
      <c r="X473" s="124"/>
    </row>
    <row r="474" spans="1:24" s="162" customFormat="1" ht="21.95" hidden="1" customHeight="1">
      <c r="A474" s="110" t="s">
        <v>1767</v>
      </c>
      <c r="B474" s="110" t="s">
        <v>1768</v>
      </c>
      <c r="C474" s="110" t="str">
        <f t="shared" si="78"/>
        <v>접지저감재그린어스 탄소형</v>
      </c>
      <c r="D474" s="99" t="s">
        <v>595</v>
      </c>
      <c r="E474" s="475">
        <f t="shared" ref="E474:E475" si="82">MIN(G474,I474,K474,L474,M474)</f>
        <v>45000</v>
      </c>
      <c r="F474" s="475"/>
      <c r="G474" s="475"/>
      <c r="H474" s="26">
        <v>1267</v>
      </c>
      <c r="I474" s="27">
        <v>45000</v>
      </c>
      <c r="J474" s="24"/>
      <c r="K474" s="27"/>
      <c r="L474" s="27"/>
      <c r="M474" s="475"/>
      <c r="N474" s="475"/>
      <c r="O474" s="23"/>
      <c r="P474" s="25"/>
      <c r="Q474" s="25"/>
      <c r="R474" s="25"/>
      <c r="S474" s="25"/>
      <c r="T474" s="25"/>
      <c r="U474" s="25"/>
      <c r="V474" s="25"/>
      <c r="W474" s="28"/>
      <c r="X474" s="124"/>
    </row>
    <row r="475" spans="1:24" s="162" customFormat="1" ht="21.95" hidden="1" customHeight="1">
      <c r="A475" s="110" t="s">
        <v>768</v>
      </c>
      <c r="B475" s="110" t="s">
        <v>1769</v>
      </c>
      <c r="C475" s="110" t="str">
        <f t="shared" si="78"/>
        <v>수막처리봉300L</v>
      </c>
      <c r="D475" s="99" t="s">
        <v>595</v>
      </c>
      <c r="E475" s="475">
        <f t="shared" si="82"/>
        <v>40000</v>
      </c>
      <c r="F475" s="99"/>
      <c r="G475" s="475"/>
      <c r="H475" s="26"/>
      <c r="I475" s="475"/>
      <c r="J475" s="24"/>
      <c r="K475" s="475"/>
      <c r="L475" s="175">
        <v>40000</v>
      </c>
      <c r="M475" s="475"/>
      <c r="N475" s="475"/>
      <c r="O475" s="23"/>
      <c r="P475" s="25"/>
      <c r="Q475" s="30"/>
      <c r="R475" s="30"/>
      <c r="S475" s="30"/>
      <c r="T475" s="30"/>
      <c r="U475" s="30"/>
      <c r="V475" s="30"/>
      <c r="W475" s="472"/>
      <c r="X475" s="174"/>
    </row>
    <row r="476" spans="1:24" s="162" customFormat="1" ht="21.95" hidden="1" customHeight="1">
      <c r="A476" s="110" t="s">
        <v>1556</v>
      </c>
      <c r="B476" s="110" t="s">
        <v>1771</v>
      </c>
      <c r="C476" s="110" t="str">
        <f t="shared" si="78"/>
        <v>접지단자함3CCT</v>
      </c>
      <c r="D476" s="99" t="s">
        <v>595</v>
      </c>
      <c r="E476" s="475">
        <f t="shared" ref="E476" si="83">MIN(G476,I476,K476,L476,M476)</f>
        <v>187680</v>
      </c>
      <c r="F476" s="99"/>
      <c r="G476" s="475"/>
      <c r="H476" s="26"/>
      <c r="I476" s="475"/>
      <c r="J476" s="24"/>
      <c r="K476" s="475"/>
      <c r="L476" s="175">
        <v>187680</v>
      </c>
      <c r="M476" s="475"/>
      <c r="N476" s="475"/>
      <c r="O476" s="23"/>
      <c r="P476" s="25"/>
      <c r="Q476" s="30"/>
      <c r="R476" s="30"/>
      <c r="S476" s="30"/>
      <c r="T476" s="30"/>
      <c r="U476" s="30"/>
      <c r="V476" s="30"/>
      <c r="W476" s="472"/>
      <c r="X476" s="174"/>
    </row>
    <row r="477" spans="1:24" s="162" customFormat="1" ht="21.95" hidden="1" customHeight="1">
      <c r="A477" s="110" t="s">
        <v>1556</v>
      </c>
      <c r="B477" s="110" t="s">
        <v>1772</v>
      </c>
      <c r="C477" s="110" t="str">
        <f t="shared" si="78"/>
        <v>접지단자함1CCT</v>
      </c>
      <c r="D477" s="99" t="s">
        <v>595</v>
      </c>
      <c r="E477" s="475">
        <f t="shared" ref="E477" si="84">MIN(G477,I477,K477,L477,M477)</f>
        <v>99360</v>
      </c>
      <c r="F477" s="99"/>
      <c r="G477" s="475"/>
      <c r="H477" s="26"/>
      <c r="I477" s="475"/>
      <c r="J477" s="24"/>
      <c r="K477" s="475"/>
      <c r="L477" s="175">
        <v>99360</v>
      </c>
      <c r="M477" s="475"/>
      <c r="N477" s="475"/>
      <c r="O477" s="23"/>
      <c r="P477" s="25"/>
      <c r="Q477" s="30"/>
      <c r="R477" s="30"/>
      <c r="S477" s="30"/>
      <c r="T477" s="30"/>
      <c r="U477" s="30"/>
      <c r="V477" s="30"/>
      <c r="W477" s="472"/>
      <c r="X477" s="174"/>
    </row>
    <row r="478" spans="1:24" s="162" customFormat="1" ht="21.95" hidden="1" customHeight="1">
      <c r="A478" s="110" t="e">
        <f>#REF!</f>
        <v>#REF!</v>
      </c>
      <c r="B478" s="110" t="e">
        <f>#REF!</f>
        <v>#REF!</v>
      </c>
      <c r="C478" s="110" t="e">
        <f t="shared" si="78"/>
        <v>#REF!</v>
      </c>
      <c r="D478" s="99" t="s">
        <v>419</v>
      </c>
      <c r="E478" s="475">
        <f t="shared" ref="E478:E491" si="85">MIN(G478,I478,K478,L478,M478)</f>
        <v>9100</v>
      </c>
      <c r="F478" s="99"/>
      <c r="G478" s="475"/>
      <c r="H478" s="23"/>
      <c r="I478" s="475"/>
      <c r="J478" s="24">
        <v>1334</v>
      </c>
      <c r="K478" s="27">
        <v>9100</v>
      </c>
      <c r="L478" s="122"/>
      <c r="M478" s="475"/>
      <c r="N478" s="23"/>
      <c r="O478" s="25"/>
      <c r="P478" s="25"/>
      <c r="Q478" s="25"/>
      <c r="R478" s="25"/>
      <c r="S478" s="25"/>
      <c r="T478" s="25"/>
      <c r="U478" s="25"/>
      <c r="V478" s="28"/>
      <c r="W478" s="124"/>
    </row>
    <row r="479" spans="1:24" s="162" customFormat="1" ht="21.95" hidden="1" customHeight="1">
      <c r="A479" s="110" t="e">
        <f>#REF!</f>
        <v>#REF!</v>
      </c>
      <c r="B479" s="110" t="e">
        <f>#REF!</f>
        <v>#REF!</v>
      </c>
      <c r="C479" s="110" t="e">
        <f t="shared" si="78"/>
        <v>#REF!</v>
      </c>
      <c r="D479" s="99" t="s">
        <v>419</v>
      </c>
      <c r="E479" s="475">
        <f t="shared" si="85"/>
        <v>4280</v>
      </c>
      <c r="F479" s="99"/>
      <c r="G479" s="475"/>
      <c r="H479" s="23"/>
      <c r="I479" s="475"/>
      <c r="J479" s="24">
        <v>1334</v>
      </c>
      <c r="K479" s="27">
        <v>4280</v>
      </c>
      <c r="L479" s="122"/>
      <c r="M479" s="475"/>
      <c r="N479" s="23"/>
      <c r="O479" s="25"/>
      <c r="P479" s="25"/>
      <c r="Q479" s="25"/>
      <c r="R479" s="25"/>
      <c r="S479" s="25"/>
      <c r="T479" s="25"/>
      <c r="U479" s="25"/>
      <c r="V479" s="28"/>
      <c r="W479" s="124"/>
    </row>
    <row r="480" spans="1:24" s="162" customFormat="1" ht="21.95" hidden="1" customHeight="1">
      <c r="A480" s="110" t="e">
        <f>#REF!</f>
        <v>#REF!</v>
      </c>
      <c r="B480" s="110" t="e">
        <f>#REF!</f>
        <v>#REF!</v>
      </c>
      <c r="C480" s="110" t="e">
        <f t="shared" si="78"/>
        <v>#REF!</v>
      </c>
      <c r="D480" s="99" t="s">
        <v>419</v>
      </c>
      <c r="E480" s="475">
        <f t="shared" si="85"/>
        <v>6900</v>
      </c>
      <c r="F480" s="99"/>
      <c r="G480" s="475"/>
      <c r="H480" s="23"/>
      <c r="I480" s="475"/>
      <c r="J480" s="24">
        <v>1334</v>
      </c>
      <c r="K480" s="27">
        <v>6900</v>
      </c>
      <c r="L480" s="122"/>
      <c r="M480" s="475"/>
      <c r="N480" s="23"/>
      <c r="O480" s="25"/>
      <c r="P480" s="25"/>
      <c r="Q480" s="25"/>
      <c r="R480" s="25"/>
      <c r="S480" s="25"/>
      <c r="T480" s="25"/>
      <c r="U480" s="25"/>
      <c r="V480" s="28"/>
      <c r="W480" s="124"/>
    </row>
    <row r="481" spans="1:28" s="162" customFormat="1" ht="21.95" hidden="1" customHeight="1">
      <c r="A481" s="110" t="e">
        <f>#REF!</f>
        <v>#REF!</v>
      </c>
      <c r="B481" s="110" t="e">
        <f>#REF!</f>
        <v>#REF!</v>
      </c>
      <c r="C481" s="110" t="e">
        <f t="shared" si="78"/>
        <v>#REF!</v>
      </c>
      <c r="D481" s="99" t="s">
        <v>419</v>
      </c>
      <c r="E481" s="475">
        <f t="shared" si="85"/>
        <v>1650</v>
      </c>
      <c r="F481" s="99"/>
      <c r="G481" s="475"/>
      <c r="H481" s="23"/>
      <c r="I481" s="475"/>
      <c r="J481" s="24">
        <v>1334</v>
      </c>
      <c r="K481" s="27">
        <v>1650</v>
      </c>
      <c r="L481" s="122"/>
      <c r="M481" s="475"/>
      <c r="N481" s="23"/>
      <c r="O481" s="25"/>
      <c r="P481" s="25"/>
      <c r="Q481" s="25"/>
      <c r="R481" s="25"/>
      <c r="S481" s="25"/>
      <c r="T481" s="25"/>
      <c r="U481" s="25"/>
      <c r="V481" s="28"/>
      <c r="W481" s="124"/>
    </row>
    <row r="482" spans="1:28" s="162" customFormat="1" ht="21.95" hidden="1" customHeight="1">
      <c r="A482" s="110" t="e">
        <f>#REF!</f>
        <v>#REF!</v>
      </c>
      <c r="B482" s="110" t="e">
        <f>#REF!</f>
        <v>#REF!</v>
      </c>
      <c r="C482" s="110" t="e">
        <f t="shared" si="78"/>
        <v>#REF!</v>
      </c>
      <c r="D482" s="99" t="s">
        <v>419</v>
      </c>
      <c r="E482" s="475">
        <f t="shared" si="85"/>
        <v>4200</v>
      </c>
      <c r="F482" s="99"/>
      <c r="G482" s="475"/>
      <c r="H482" s="23">
        <v>1240</v>
      </c>
      <c r="I482" s="475">
        <v>5120</v>
      </c>
      <c r="J482" s="24">
        <v>1334</v>
      </c>
      <c r="K482" s="27">
        <v>4200</v>
      </c>
      <c r="L482" s="122"/>
      <c r="M482" s="475"/>
      <c r="N482" s="23"/>
      <c r="O482" s="25"/>
      <c r="P482" s="25"/>
      <c r="Q482" s="25"/>
      <c r="R482" s="25"/>
      <c r="S482" s="25"/>
      <c r="T482" s="25"/>
      <c r="U482" s="25"/>
      <c r="V482" s="28"/>
      <c r="W482" s="124"/>
    </row>
    <row r="483" spans="1:28" s="162" customFormat="1" ht="21.95" hidden="1" customHeight="1">
      <c r="A483" s="110" t="e">
        <f>#REF!</f>
        <v>#REF!</v>
      </c>
      <c r="B483" s="110" t="e">
        <f>#REF!</f>
        <v>#REF!</v>
      </c>
      <c r="C483" s="110" t="e">
        <f t="shared" si="78"/>
        <v>#REF!</v>
      </c>
      <c r="D483" s="99" t="s">
        <v>419</v>
      </c>
      <c r="E483" s="475">
        <f t="shared" si="85"/>
        <v>53333</v>
      </c>
      <c r="F483" s="99"/>
      <c r="G483" s="475"/>
      <c r="H483" s="26"/>
      <c r="I483" s="27"/>
      <c r="J483" s="24">
        <v>1262</v>
      </c>
      <c r="K483" s="27">
        <v>53333</v>
      </c>
      <c r="L483" s="122"/>
      <c r="M483" s="475"/>
      <c r="N483" s="23"/>
      <c r="O483" s="25"/>
      <c r="P483" s="25"/>
      <c r="Q483" s="25"/>
      <c r="R483" s="25"/>
      <c r="S483" s="25"/>
      <c r="T483" s="25"/>
      <c r="U483" s="25"/>
      <c r="V483" s="28"/>
      <c r="W483" s="124"/>
    </row>
    <row r="484" spans="1:28" s="162" customFormat="1" ht="21.95" hidden="1" customHeight="1">
      <c r="A484" s="110" t="e">
        <f>#REF!</f>
        <v>#REF!</v>
      </c>
      <c r="B484" s="110" t="e">
        <f>#REF!</f>
        <v>#REF!</v>
      </c>
      <c r="C484" s="110" t="e">
        <f t="shared" si="78"/>
        <v>#REF!</v>
      </c>
      <c r="D484" s="99" t="s">
        <v>419</v>
      </c>
      <c r="E484" s="475">
        <f t="shared" si="85"/>
        <v>30600</v>
      </c>
      <c r="F484" s="99"/>
      <c r="G484" s="475"/>
      <c r="H484" s="26"/>
      <c r="I484" s="27"/>
      <c r="J484" s="24">
        <v>1334</v>
      </c>
      <c r="K484" s="27">
        <v>30600</v>
      </c>
      <c r="L484" s="122"/>
      <c r="M484" s="475"/>
      <c r="N484" s="23"/>
      <c r="O484" s="25"/>
      <c r="P484" s="25"/>
      <c r="Q484" s="25"/>
      <c r="R484" s="25"/>
      <c r="S484" s="25"/>
      <c r="T484" s="25"/>
      <c r="U484" s="25"/>
      <c r="V484" s="28"/>
      <c r="W484" s="124"/>
    </row>
    <row r="485" spans="1:28" s="162" customFormat="1" ht="21.95" hidden="1" customHeight="1">
      <c r="A485" s="110" t="e">
        <f>#REF!</f>
        <v>#REF!</v>
      </c>
      <c r="B485" s="110" t="e">
        <f>#REF!</f>
        <v>#REF!</v>
      </c>
      <c r="C485" s="110" t="e">
        <f t="shared" si="78"/>
        <v>#REF!</v>
      </c>
      <c r="D485" s="99" t="s">
        <v>419</v>
      </c>
      <c r="E485" s="475">
        <f t="shared" si="85"/>
        <v>36300</v>
      </c>
      <c r="F485" s="99"/>
      <c r="G485" s="475"/>
      <c r="H485" s="26"/>
      <c r="I485" s="27"/>
      <c r="J485" s="24">
        <v>1334</v>
      </c>
      <c r="K485" s="27">
        <v>36300</v>
      </c>
      <c r="L485" s="122"/>
      <c r="M485" s="475"/>
      <c r="N485" s="23"/>
      <c r="O485" s="25"/>
      <c r="P485" s="25"/>
      <c r="Q485" s="25"/>
      <c r="R485" s="25"/>
      <c r="S485" s="25"/>
      <c r="T485" s="25"/>
      <c r="U485" s="25"/>
      <c r="V485" s="28"/>
      <c r="W485" s="124"/>
    </row>
    <row r="486" spans="1:28" s="162" customFormat="1" ht="21.95" hidden="1" customHeight="1">
      <c r="A486" s="110" t="e">
        <f>#REF!</f>
        <v>#REF!</v>
      </c>
      <c r="B486" s="110" t="e">
        <f>#REF!</f>
        <v>#REF!</v>
      </c>
      <c r="C486" s="110" t="e">
        <f t="shared" si="78"/>
        <v>#REF!</v>
      </c>
      <c r="D486" s="99" t="s">
        <v>419</v>
      </c>
      <c r="E486" s="475">
        <f t="shared" si="85"/>
        <v>12100</v>
      </c>
      <c r="F486" s="99"/>
      <c r="G486" s="475"/>
      <c r="H486" s="26">
        <v>1239</v>
      </c>
      <c r="I486" s="27">
        <v>12100</v>
      </c>
      <c r="J486" s="24">
        <v>1334</v>
      </c>
      <c r="K486" s="27">
        <v>12600</v>
      </c>
      <c r="L486" s="122"/>
      <c r="M486" s="475"/>
      <c r="N486" s="23"/>
      <c r="O486" s="25"/>
      <c r="P486" s="25"/>
      <c r="Q486" s="25"/>
      <c r="R486" s="25"/>
      <c r="S486" s="25"/>
      <c r="T486" s="25"/>
      <c r="U486" s="25"/>
      <c r="V486" s="28"/>
      <c r="W486" s="124"/>
    </row>
    <row r="487" spans="1:28" ht="21.95" hidden="1" customHeight="1">
      <c r="A487" s="110" t="e">
        <f>#REF!</f>
        <v>#REF!</v>
      </c>
      <c r="B487" s="110" t="e">
        <f>#REF!</f>
        <v>#REF!</v>
      </c>
      <c r="C487" s="110" t="e">
        <f t="shared" si="78"/>
        <v>#REF!</v>
      </c>
      <c r="D487" s="99" t="s">
        <v>1379</v>
      </c>
      <c r="E487" s="475">
        <f t="shared" si="85"/>
        <v>62920</v>
      </c>
      <c r="F487" s="122"/>
      <c r="G487" s="31"/>
      <c r="H487" s="26"/>
      <c r="I487" s="27"/>
      <c r="J487" s="122"/>
      <c r="K487" s="31"/>
      <c r="L487" s="475">
        <v>62920</v>
      </c>
      <c r="M487" s="475"/>
      <c r="N487" s="23"/>
      <c r="O487" s="25">
        <v>0.22</v>
      </c>
      <c r="P487" s="25"/>
      <c r="Q487" s="25"/>
      <c r="R487" s="25"/>
      <c r="S487" s="25"/>
      <c r="T487" s="25">
        <v>0.11</v>
      </c>
      <c r="U487" s="25"/>
      <c r="V487" s="25"/>
      <c r="W487" s="384" t="s">
        <v>1380</v>
      </c>
      <c r="X487" s="526"/>
      <c r="AB487" s="113"/>
    </row>
    <row r="488" spans="1:28" s="127" customFormat="1" ht="21.95" hidden="1" customHeight="1">
      <c r="A488" s="110" t="e">
        <f>#REF!</f>
        <v>#REF!</v>
      </c>
      <c r="B488" s="110" t="e">
        <f>#REF!</f>
        <v>#REF!</v>
      </c>
      <c r="C488" s="110" t="e">
        <f t="shared" si="78"/>
        <v>#REF!</v>
      </c>
      <c r="D488" s="99" t="s">
        <v>419</v>
      </c>
      <c r="E488" s="475">
        <f t="shared" si="85"/>
        <v>8212</v>
      </c>
      <c r="F488" s="122"/>
      <c r="G488" s="31"/>
      <c r="H488" s="26"/>
      <c r="I488" s="27"/>
      <c r="J488" s="24">
        <v>1334</v>
      </c>
      <c r="K488" s="27">
        <v>8212</v>
      </c>
      <c r="L488" s="475"/>
      <c r="M488" s="475"/>
      <c r="N488" s="23"/>
      <c r="O488" s="25"/>
      <c r="P488" s="25"/>
      <c r="Q488" s="25"/>
      <c r="R488" s="25"/>
      <c r="S488" s="25"/>
      <c r="T488" s="25"/>
      <c r="U488" s="25"/>
      <c r="V488" s="25"/>
      <c r="W488" s="384"/>
    </row>
    <row r="489" spans="1:28" s="162" customFormat="1" ht="21.95" hidden="1" customHeight="1">
      <c r="A489" s="110" t="e">
        <f>#REF!</f>
        <v>#REF!</v>
      </c>
      <c r="B489" s="110" t="e">
        <f>#REF!</f>
        <v>#REF!</v>
      </c>
      <c r="C489" s="110" t="e">
        <f t="shared" si="78"/>
        <v>#REF!</v>
      </c>
      <c r="D489" s="99" t="s">
        <v>419</v>
      </c>
      <c r="E489" s="475">
        <f t="shared" si="85"/>
        <v>13400</v>
      </c>
      <c r="F489" s="99"/>
      <c r="G489" s="475"/>
      <c r="H489" s="26">
        <v>1247</v>
      </c>
      <c r="I489" s="27">
        <v>13400</v>
      </c>
      <c r="J489" s="24"/>
      <c r="K489" s="27"/>
      <c r="L489" s="122"/>
      <c r="M489" s="475"/>
      <c r="N489" s="23"/>
      <c r="O489" s="25"/>
      <c r="P489" s="25"/>
      <c r="Q489" s="25"/>
      <c r="R489" s="25"/>
      <c r="S489" s="25"/>
      <c r="T489" s="25"/>
      <c r="U489" s="25"/>
      <c r="V489" s="28"/>
      <c r="W489" s="124"/>
    </row>
    <row r="490" spans="1:28" s="162" customFormat="1" ht="21.95" hidden="1" customHeight="1">
      <c r="A490" s="110" t="e">
        <f>#REF!</f>
        <v>#REF!</v>
      </c>
      <c r="B490" s="110" t="e">
        <f>#REF!</f>
        <v>#REF!</v>
      </c>
      <c r="C490" s="110" t="e">
        <f t="shared" si="78"/>
        <v>#REF!</v>
      </c>
      <c r="D490" s="99" t="s">
        <v>419</v>
      </c>
      <c r="E490" s="475">
        <f t="shared" si="85"/>
        <v>560</v>
      </c>
      <c r="F490" s="99"/>
      <c r="G490" s="475"/>
      <c r="H490" s="26">
        <v>1239</v>
      </c>
      <c r="I490" s="27">
        <v>1550</v>
      </c>
      <c r="J490" s="24">
        <v>1334</v>
      </c>
      <c r="K490" s="27">
        <v>560</v>
      </c>
      <c r="L490" s="122"/>
      <c r="M490" s="475"/>
      <c r="N490" s="23"/>
      <c r="O490" s="25"/>
      <c r="P490" s="25"/>
      <c r="Q490" s="25"/>
      <c r="R490" s="25"/>
      <c r="S490" s="25"/>
      <c r="T490" s="25"/>
      <c r="U490" s="25"/>
      <c r="V490" s="28"/>
      <c r="W490" s="124"/>
    </row>
    <row r="491" spans="1:28" s="162" customFormat="1" ht="21.95" hidden="1" customHeight="1">
      <c r="A491" s="110" t="e">
        <f>#REF!</f>
        <v>#REF!</v>
      </c>
      <c r="B491" s="110" t="e">
        <f>#REF!</f>
        <v>#REF!</v>
      </c>
      <c r="C491" s="110" t="e">
        <f t="shared" si="78"/>
        <v>#REF!</v>
      </c>
      <c r="D491" s="99" t="s">
        <v>419</v>
      </c>
      <c r="E491" s="475">
        <f t="shared" si="85"/>
        <v>16000</v>
      </c>
      <c r="F491" s="99"/>
      <c r="G491" s="475"/>
      <c r="H491" s="26">
        <v>1247</v>
      </c>
      <c r="I491" s="27">
        <v>16000</v>
      </c>
      <c r="J491" s="24"/>
      <c r="K491" s="27"/>
      <c r="L491" s="122"/>
      <c r="M491" s="475"/>
      <c r="N491" s="23"/>
      <c r="O491" s="25"/>
      <c r="P491" s="25"/>
      <c r="Q491" s="25"/>
      <c r="R491" s="25"/>
      <c r="S491" s="25"/>
      <c r="T491" s="25"/>
      <c r="U491" s="25"/>
      <c r="V491" s="28"/>
      <c r="W491" s="124"/>
    </row>
    <row r="492" spans="1:28" s="162" customFormat="1" ht="21.95" hidden="1" customHeight="1">
      <c r="A492" s="110" t="e">
        <f>#REF!</f>
        <v>#REF!</v>
      </c>
      <c r="B492" s="110" t="e">
        <f>#REF!</f>
        <v>#REF!</v>
      </c>
      <c r="C492" s="110" t="e">
        <f t="shared" si="78"/>
        <v>#REF!</v>
      </c>
      <c r="D492" s="497" t="s">
        <v>1562</v>
      </c>
      <c r="E492" s="475">
        <f t="shared" ref="E492:E505" si="86">MIN(G492,I492,K492,L492,M492)</f>
        <v>518</v>
      </c>
      <c r="F492" s="99"/>
      <c r="G492" s="475">
        <v>518</v>
      </c>
      <c r="H492" s="26">
        <v>1106</v>
      </c>
      <c r="I492" s="27">
        <v>600</v>
      </c>
      <c r="J492" s="24">
        <v>1223</v>
      </c>
      <c r="K492" s="27">
        <v>1680</v>
      </c>
      <c r="L492" s="122"/>
      <c r="M492" s="475"/>
      <c r="N492" s="23"/>
      <c r="O492" s="25"/>
      <c r="P492" s="25"/>
      <c r="Q492" s="25"/>
      <c r="R492" s="25"/>
      <c r="S492" s="25"/>
      <c r="T492" s="25"/>
      <c r="U492" s="25"/>
      <c r="V492" s="28"/>
      <c r="W492" s="124"/>
    </row>
    <row r="493" spans="1:28" s="162" customFormat="1" ht="21.95" hidden="1" customHeight="1">
      <c r="A493" s="110" t="e">
        <f>#REF!</f>
        <v>#REF!</v>
      </c>
      <c r="B493" s="110" t="e">
        <f>#REF!</f>
        <v>#REF!</v>
      </c>
      <c r="C493" s="110" t="e">
        <f t="shared" si="78"/>
        <v>#REF!</v>
      </c>
      <c r="D493" s="497" t="s">
        <v>1562</v>
      </c>
      <c r="E493" s="475">
        <f t="shared" si="86"/>
        <v>422750</v>
      </c>
      <c r="F493" s="99"/>
      <c r="G493" s="475">
        <v>422750</v>
      </c>
      <c r="H493" s="26">
        <v>1206</v>
      </c>
      <c r="I493" s="27">
        <v>450000</v>
      </c>
      <c r="J493" s="24">
        <v>1293</v>
      </c>
      <c r="K493" s="27">
        <v>519000</v>
      </c>
      <c r="L493" s="122"/>
      <c r="M493" s="475"/>
      <c r="N493" s="23"/>
      <c r="O493" s="25"/>
      <c r="P493" s="25"/>
      <c r="Q493" s="25"/>
      <c r="R493" s="25"/>
      <c r="S493" s="25"/>
      <c r="T493" s="25"/>
      <c r="U493" s="25"/>
      <c r="V493" s="28"/>
      <c r="W493" s="124"/>
    </row>
    <row r="494" spans="1:28" s="162" customFormat="1" ht="21.95" hidden="1" customHeight="1">
      <c r="A494" s="110" t="e">
        <f>#REF!</f>
        <v>#REF!</v>
      </c>
      <c r="B494" s="110" t="e">
        <f>#REF!</f>
        <v>#REF!</v>
      </c>
      <c r="C494" s="110" t="e">
        <f t="shared" si="78"/>
        <v>#REF!</v>
      </c>
      <c r="D494" s="497" t="s">
        <v>1563</v>
      </c>
      <c r="E494" s="475">
        <f t="shared" si="86"/>
        <v>10000</v>
      </c>
      <c r="F494" s="99"/>
      <c r="G494" s="475">
        <v>10000</v>
      </c>
      <c r="H494" s="26"/>
      <c r="I494" s="27"/>
      <c r="J494" s="24"/>
      <c r="K494" s="27"/>
      <c r="L494" s="122"/>
      <c r="M494" s="475"/>
      <c r="N494" s="23"/>
      <c r="O494" s="25"/>
      <c r="P494" s="25"/>
      <c r="Q494" s="25"/>
      <c r="R494" s="25"/>
      <c r="S494" s="25"/>
      <c r="T494" s="25"/>
      <c r="U494" s="25"/>
      <c r="V494" s="28"/>
      <c r="W494" s="124"/>
    </row>
    <row r="495" spans="1:28" s="162" customFormat="1" ht="21.95" hidden="1" customHeight="1">
      <c r="A495" s="110" t="e">
        <f>#REF!</f>
        <v>#REF!</v>
      </c>
      <c r="B495" s="110" t="e">
        <f>#REF!</f>
        <v>#REF!</v>
      </c>
      <c r="C495" s="110" t="e">
        <f t="shared" si="78"/>
        <v>#REF!</v>
      </c>
      <c r="D495" s="497" t="s">
        <v>89</v>
      </c>
      <c r="E495" s="475">
        <f t="shared" si="86"/>
        <v>59680</v>
      </c>
      <c r="F495" s="99"/>
      <c r="G495" s="475">
        <v>59680</v>
      </c>
      <c r="H495" s="26"/>
      <c r="I495" s="27"/>
      <c r="J495" s="24"/>
      <c r="K495" s="27"/>
      <c r="L495" s="122"/>
      <c r="M495" s="475"/>
      <c r="N495" s="23"/>
      <c r="O495" s="25"/>
      <c r="P495" s="25"/>
      <c r="Q495" s="25"/>
      <c r="R495" s="25"/>
      <c r="S495" s="25"/>
      <c r="T495" s="25"/>
      <c r="U495" s="25"/>
      <c r="V495" s="28"/>
      <c r="W495" s="124"/>
    </row>
    <row r="496" spans="1:28" s="162" customFormat="1" ht="21.95" hidden="1" customHeight="1">
      <c r="A496" s="110" t="e">
        <f>#REF!</f>
        <v>#REF!</v>
      </c>
      <c r="B496" s="110" t="e">
        <f>#REF!</f>
        <v>#REF!</v>
      </c>
      <c r="C496" s="110" t="e">
        <f t="shared" si="78"/>
        <v>#REF!</v>
      </c>
      <c r="D496" s="497" t="s">
        <v>407</v>
      </c>
      <c r="E496" s="475">
        <f t="shared" ref="E496:E498" si="87">MIN(G496,I496,K496,L496,M496)</f>
        <v>553256</v>
      </c>
      <c r="F496" s="99"/>
      <c r="G496" s="475">
        <v>553256</v>
      </c>
      <c r="H496" s="26"/>
      <c r="I496" s="27"/>
      <c r="J496" s="24"/>
      <c r="K496" s="27"/>
      <c r="L496" s="122"/>
      <c r="M496" s="475"/>
      <c r="N496" s="23"/>
      <c r="O496" s="25"/>
      <c r="P496" s="25"/>
      <c r="Q496" s="25"/>
      <c r="R496" s="25"/>
      <c r="S496" s="25"/>
      <c r="T496" s="25"/>
      <c r="U496" s="25"/>
      <c r="V496" s="28"/>
      <c r="W496" s="124"/>
    </row>
    <row r="497" spans="1:23" s="162" customFormat="1" ht="21.95" hidden="1" customHeight="1">
      <c r="A497" s="110" t="e">
        <f>#REF!</f>
        <v>#REF!</v>
      </c>
      <c r="B497" s="110" t="e">
        <f>#REF!</f>
        <v>#REF!</v>
      </c>
      <c r="C497" s="110" t="e">
        <f t="shared" si="78"/>
        <v>#REF!</v>
      </c>
      <c r="D497" s="497" t="s">
        <v>89</v>
      </c>
      <c r="E497" s="475">
        <f t="shared" si="87"/>
        <v>4300</v>
      </c>
      <c r="F497" s="99"/>
      <c r="G497" s="475"/>
      <c r="H497" s="26">
        <v>1205</v>
      </c>
      <c r="I497" s="27">
        <v>6900</v>
      </c>
      <c r="J497" s="24">
        <v>1299</v>
      </c>
      <c r="K497" s="27">
        <v>4300</v>
      </c>
      <c r="L497" s="122"/>
      <c r="M497" s="475"/>
      <c r="N497" s="23"/>
      <c r="O497" s="25"/>
      <c r="P497" s="25"/>
      <c r="Q497" s="25"/>
      <c r="R497" s="25"/>
      <c r="S497" s="25"/>
      <c r="T497" s="25"/>
      <c r="U497" s="25"/>
      <c r="V497" s="28"/>
      <c r="W497" s="124"/>
    </row>
    <row r="498" spans="1:23" s="162" customFormat="1" ht="21.95" hidden="1" customHeight="1">
      <c r="A498" s="110" t="e">
        <f>#REF!</f>
        <v>#REF!</v>
      </c>
      <c r="B498" s="110" t="e">
        <f>#REF!</f>
        <v>#REF!</v>
      </c>
      <c r="C498" s="110" t="e">
        <f t="shared" si="78"/>
        <v>#REF!</v>
      </c>
      <c r="D498" s="497" t="s">
        <v>89</v>
      </c>
      <c r="E498" s="475">
        <f t="shared" si="87"/>
        <v>840</v>
      </c>
      <c r="F498" s="99"/>
      <c r="G498" s="475"/>
      <c r="H498" s="26">
        <v>1205</v>
      </c>
      <c r="I498" s="27">
        <v>840</v>
      </c>
      <c r="J498" s="24">
        <v>1299</v>
      </c>
      <c r="K498" s="27">
        <v>3000</v>
      </c>
      <c r="L498" s="122"/>
      <c r="M498" s="475"/>
      <c r="N498" s="23"/>
      <c r="O498" s="25"/>
      <c r="P498" s="25"/>
      <c r="Q498" s="25"/>
      <c r="R498" s="25"/>
      <c r="S498" s="25"/>
      <c r="T498" s="25"/>
      <c r="U498" s="25"/>
      <c r="V498" s="28"/>
      <c r="W498" s="124"/>
    </row>
    <row r="499" spans="1:23" s="162" customFormat="1" ht="21.95" hidden="1" customHeight="1">
      <c r="A499" s="110" t="e">
        <f>#REF!</f>
        <v>#REF!</v>
      </c>
      <c r="B499" s="110" t="e">
        <f>#REF!</f>
        <v>#REF!</v>
      </c>
      <c r="C499" s="110" t="e">
        <f t="shared" si="78"/>
        <v>#REF!</v>
      </c>
      <c r="D499" s="497" t="s">
        <v>89</v>
      </c>
      <c r="E499" s="475">
        <f t="shared" ref="E499:E501" si="88">MIN(G499,I499,K499,L499,M499)</f>
        <v>5500</v>
      </c>
      <c r="F499" s="99"/>
      <c r="G499" s="475"/>
      <c r="H499" s="26">
        <v>1205</v>
      </c>
      <c r="I499" s="27">
        <v>5500</v>
      </c>
      <c r="J499" s="24">
        <v>1299</v>
      </c>
      <c r="K499" s="27">
        <v>9000</v>
      </c>
      <c r="L499" s="122"/>
      <c r="M499" s="475"/>
      <c r="N499" s="23"/>
      <c r="O499" s="25"/>
      <c r="P499" s="25"/>
      <c r="Q499" s="25"/>
      <c r="R499" s="25"/>
      <c r="S499" s="25"/>
      <c r="T499" s="25"/>
      <c r="U499" s="25"/>
      <c r="V499" s="28"/>
      <c r="W499" s="124"/>
    </row>
    <row r="500" spans="1:23" s="162" customFormat="1" ht="21.95" hidden="1" customHeight="1">
      <c r="A500" s="110" t="e">
        <f>#REF!</f>
        <v>#REF!</v>
      </c>
      <c r="B500" s="110" t="e">
        <f>#REF!</f>
        <v>#REF!</v>
      </c>
      <c r="C500" s="110" t="e">
        <f t="shared" si="78"/>
        <v>#REF!</v>
      </c>
      <c r="D500" s="497" t="s">
        <v>89</v>
      </c>
      <c r="E500" s="475">
        <f t="shared" si="88"/>
        <v>7500</v>
      </c>
      <c r="F500" s="99"/>
      <c r="G500" s="475"/>
      <c r="H500" s="26">
        <v>1207</v>
      </c>
      <c r="I500" s="27">
        <v>8000</v>
      </c>
      <c r="J500" s="24">
        <v>1299</v>
      </c>
      <c r="K500" s="27">
        <v>7500</v>
      </c>
      <c r="L500" s="122"/>
      <c r="M500" s="475"/>
      <c r="N500" s="23"/>
      <c r="O500" s="25"/>
      <c r="P500" s="25"/>
      <c r="Q500" s="25"/>
      <c r="R500" s="25"/>
      <c r="S500" s="25"/>
      <c r="T500" s="25"/>
      <c r="U500" s="25"/>
      <c r="V500" s="28"/>
      <c r="W500" s="124"/>
    </row>
    <row r="501" spans="1:23" s="162" customFormat="1" ht="21.95" hidden="1" customHeight="1">
      <c r="A501" s="110" t="e">
        <f>#REF!</f>
        <v>#REF!</v>
      </c>
      <c r="B501" s="110" t="e">
        <f>#REF!</f>
        <v>#REF!</v>
      </c>
      <c r="C501" s="110" t="e">
        <f t="shared" si="78"/>
        <v>#REF!</v>
      </c>
      <c r="D501" s="497" t="s">
        <v>89</v>
      </c>
      <c r="E501" s="475">
        <f t="shared" si="88"/>
        <v>40000</v>
      </c>
      <c r="F501" s="99"/>
      <c r="G501" s="475"/>
      <c r="H501" s="26">
        <v>1207</v>
      </c>
      <c r="I501" s="27">
        <v>40000</v>
      </c>
      <c r="J501" s="24">
        <v>1298</v>
      </c>
      <c r="K501" s="27">
        <v>40000</v>
      </c>
      <c r="L501" s="122"/>
      <c r="M501" s="475"/>
      <c r="N501" s="23"/>
      <c r="O501" s="25"/>
      <c r="P501" s="25"/>
      <c r="Q501" s="25"/>
      <c r="R501" s="25"/>
      <c r="S501" s="25"/>
      <c r="T501" s="25"/>
      <c r="U501" s="25"/>
      <c r="V501" s="28"/>
      <c r="W501" s="124"/>
    </row>
    <row r="502" spans="1:23" s="162" customFormat="1" ht="21.95" hidden="1" customHeight="1">
      <c r="A502" s="110" t="e">
        <f>#REF!</f>
        <v>#REF!</v>
      </c>
      <c r="B502" s="110" t="e">
        <f>#REF!</f>
        <v>#REF!</v>
      </c>
      <c r="C502" s="110" t="e">
        <f t="shared" si="78"/>
        <v>#REF!</v>
      </c>
      <c r="D502" s="497" t="s">
        <v>89</v>
      </c>
      <c r="E502" s="475">
        <f t="shared" ref="E502:E503" si="89">MIN(G502,I502,K502,L502,M502)</f>
        <v>272700</v>
      </c>
      <c r="F502" s="99"/>
      <c r="G502" s="475">
        <v>272700</v>
      </c>
      <c r="H502" s="26"/>
      <c r="I502" s="27"/>
      <c r="J502" s="24"/>
      <c r="K502" s="27"/>
      <c r="L502" s="122"/>
      <c r="M502" s="475"/>
      <c r="N502" s="23"/>
      <c r="O502" s="25"/>
      <c r="P502" s="25"/>
      <c r="Q502" s="25"/>
      <c r="R502" s="25"/>
      <c r="S502" s="25"/>
      <c r="T502" s="25"/>
      <c r="U502" s="25"/>
      <c r="V502" s="28"/>
      <c r="W502" s="124"/>
    </row>
    <row r="503" spans="1:23" s="162" customFormat="1" ht="21.95" hidden="1" customHeight="1">
      <c r="A503" s="110" t="e">
        <f>#REF!</f>
        <v>#REF!</v>
      </c>
      <c r="B503" s="110" t="e">
        <f>#REF!</f>
        <v>#REF!</v>
      </c>
      <c r="C503" s="110" t="e">
        <f t="shared" si="78"/>
        <v>#REF!</v>
      </c>
      <c r="D503" s="497" t="s">
        <v>89</v>
      </c>
      <c r="E503" s="475">
        <f t="shared" si="89"/>
        <v>3800</v>
      </c>
      <c r="F503" s="99"/>
      <c r="G503" s="475"/>
      <c r="H503" s="26"/>
      <c r="I503" s="27"/>
      <c r="J503" s="24"/>
      <c r="K503" s="27"/>
      <c r="L503" s="122">
        <v>3800</v>
      </c>
      <c r="M503" s="475">
        <v>4500</v>
      </c>
      <c r="N503" s="23"/>
      <c r="O503" s="25"/>
      <c r="P503" s="25"/>
      <c r="Q503" s="25"/>
      <c r="R503" s="25"/>
      <c r="S503" s="25"/>
      <c r="T503" s="25"/>
      <c r="U503" s="25"/>
      <c r="V503" s="28"/>
      <c r="W503" s="124"/>
    </row>
    <row r="504" spans="1:23" s="162" customFormat="1" ht="21.95" hidden="1" customHeight="1">
      <c r="A504" s="110" t="e">
        <f>#REF!</f>
        <v>#REF!</v>
      </c>
      <c r="B504" s="110" t="e">
        <f>#REF!</f>
        <v>#REF!</v>
      </c>
      <c r="C504" s="110" t="e">
        <f t="shared" si="78"/>
        <v>#REF!</v>
      </c>
      <c r="D504" s="497" t="s">
        <v>89</v>
      </c>
      <c r="E504" s="475">
        <f t="shared" si="86"/>
        <v>187680</v>
      </c>
      <c r="F504" s="99"/>
      <c r="G504" s="475"/>
      <c r="H504" s="26"/>
      <c r="I504" s="27"/>
      <c r="J504" s="24"/>
      <c r="K504" s="27"/>
      <c r="L504" s="122">
        <v>187680</v>
      </c>
      <c r="M504" s="475">
        <v>307000</v>
      </c>
      <c r="N504" s="23"/>
      <c r="O504" s="25"/>
      <c r="P504" s="25"/>
      <c r="Q504" s="25"/>
      <c r="R504" s="25"/>
      <c r="S504" s="25"/>
      <c r="T504" s="25"/>
      <c r="U504" s="25"/>
      <c r="V504" s="28"/>
      <c r="W504" s="124"/>
    </row>
    <row r="505" spans="1:23" s="162" customFormat="1" ht="21.95" hidden="1" customHeight="1">
      <c r="A505" s="110" t="e">
        <f>#REF!</f>
        <v>#REF!</v>
      </c>
      <c r="B505" s="110" t="e">
        <f>#REF!</f>
        <v>#REF!</v>
      </c>
      <c r="C505" s="110" t="e">
        <f t="shared" si="78"/>
        <v>#REF!</v>
      </c>
      <c r="D505" s="99" t="s">
        <v>419</v>
      </c>
      <c r="E505" s="475">
        <f t="shared" si="86"/>
        <v>120900</v>
      </c>
      <c r="F505" s="99"/>
      <c r="G505" s="475">
        <v>120900</v>
      </c>
      <c r="H505" s="26">
        <v>1206</v>
      </c>
      <c r="I505" s="27">
        <v>198750</v>
      </c>
      <c r="J505" s="24"/>
      <c r="K505" s="27"/>
      <c r="L505" s="122"/>
      <c r="M505" s="475"/>
      <c r="N505" s="23"/>
      <c r="O505" s="25"/>
      <c r="P505" s="25"/>
      <c r="Q505" s="25"/>
      <c r="R505" s="25"/>
      <c r="S505" s="25"/>
      <c r="T505" s="25"/>
      <c r="U505" s="25"/>
      <c r="V505" s="28"/>
      <c r="W505" s="124"/>
    </row>
    <row r="506" spans="1:23" s="162" customFormat="1" ht="21.95" hidden="1" customHeight="1">
      <c r="A506" s="110" t="e">
        <f>#REF!</f>
        <v>#REF!</v>
      </c>
      <c r="B506" s="110" t="e">
        <f>#REF!</f>
        <v>#REF!</v>
      </c>
      <c r="C506" s="110" t="e">
        <f t="shared" si="78"/>
        <v>#REF!</v>
      </c>
      <c r="D506" s="99" t="s">
        <v>1385</v>
      </c>
      <c r="E506" s="475">
        <f t="shared" ref="E506" si="90">MIN(G506,I506,K506,L506,M506)</f>
        <v>3300000</v>
      </c>
      <c r="F506" s="99"/>
      <c r="G506" s="475"/>
      <c r="H506" s="26"/>
      <c r="I506" s="27"/>
      <c r="J506" s="24"/>
      <c r="K506" s="27"/>
      <c r="L506" s="27">
        <v>3300000</v>
      </c>
      <c r="M506" s="475"/>
      <c r="N506" s="23"/>
      <c r="O506" s="25"/>
      <c r="P506" s="25"/>
      <c r="Q506" s="25"/>
      <c r="R506" s="25"/>
      <c r="S506" s="25"/>
      <c r="T506" s="25"/>
      <c r="U506" s="25"/>
      <c r="V506" s="28"/>
      <c r="W506" s="124"/>
    </row>
    <row r="507" spans="1:23" s="162" customFormat="1" ht="21.95" hidden="1" customHeight="1">
      <c r="A507" s="110" t="e">
        <f>#REF!</f>
        <v>#REF!</v>
      </c>
      <c r="B507" s="110" t="e">
        <f>#REF!</f>
        <v>#REF!</v>
      </c>
      <c r="C507" s="110" t="e">
        <f t="shared" si="78"/>
        <v>#REF!</v>
      </c>
      <c r="D507" s="99" t="s">
        <v>419</v>
      </c>
      <c r="E507" s="475">
        <f t="shared" ref="E507:E509" si="91">MIN(G507,I507,K507,L507,M507)</f>
        <v>330000</v>
      </c>
      <c r="F507" s="99"/>
      <c r="G507" s="475"/>
      <c r="H507" s="26">
        <v>929</v>
      </c>
      <c r="I507" s="27">
        <v>330000</v>
      </c>
      <c r="J507" s="24">
        <v>970</v>
      </c>
      <c r="K507" s="27">
        <v>330000</v>
      </c>
      <c r="L507" s="122"/>
      <c r="M507" s="475"/>
      <c r="N507" s="23"/>
      <c r="O507" s="25"/>
      <c r="P507" s="25"/>
      <c r="Q507" s="25"/>
      <c r="R507" s="25"/>
      <c r="S507" s="25"/>
      <c r="T507" s="25"/>
      <c r="U507" s="25"/>
      <c r="V507" s="28"/>
      <c r="W507" s="124"/>
    </row>
    <row r="508" spans="1:23" s="162" customFormat="1" ht="21.95" hidden="1" customHeight="1">
      <c r="A508" s="110" t="e">
        <f>#REF!</f>
        <v>#REF!</v>
      </c>
      <c r="B508" s="110" t="e">
        <f>#REF!</f>
        <v>#REF!</v>
      </c>
      <c r="C508" s="110" t="e">
        <f t="shared" si="78"/>
        <v>#REF!</v>
      </c>
      <c r="D508" s="99" t="s">
        <v>1450</v>
      </c>
      <c r="E508" s="475">
        <f t="shared" si="91"/>
        <v>2761328</v>
      </c>
      <c r="F508" s="99"/>
      <c r="G508" s="475"/>
      <c r="H508" s="26"/>
      <c r="I508" s="27"/>
      <c r="J508" s="24"/>
      <c r="K508" s="27"/>
      <c r="L508" s="27">
        <v>2761328</v>
      </c>
      <c r="M508" s="475"/>
      <c r="N508" s="23"/>
      <c r="O508" s="25"/>
      <c r="P508" s="25"/>
      <c r="Q508" s="25"/>
      <c r="R508" s="25"/>
      <c r="S508" s="25"/>
      <c r="T508" s="25"/>
      <c r="U508" s="25"/>
      <c r="V508" s="28"/>
      <c r="W508" s="124"/>
    </row>
    <row r="509" spans="1:23" s="162" customFormat="1" ht="21.95" hidden="1" customHeight="1">
      <c r="A509" s="110" t="e">
        <f>#REF!</f>
        <v>#REF!</v>
      </c>
      <c r="B509" s="110" t="e">
        <f>#REF!</f>
        <v>#REF!</v>
      </c>
      <c r="C509" s="110" t="e">
        <f t="shared" si="78"/>
        <v>#REF!</v>
      </c>
      <c r="D509" s="99" t="s">
        <v>1450</v>
      </c>
      <c r="E509" s="475">
        <f t="shared" si="91"/>
        <v>2389616</v>
      </c>
      <c r="F509" s="99"/>
      <c r="G509" s="475"/>
      <c r="H509" s="26"/>
      <c r="I509" s="27"/>
      <c r="J509" s="24"/>
      <c r="K509" s="27"/>
      <c r="L509" s="27">
        <v>2389616</v>
      </c>
      <c r="M509" s="475"/>
      <c r="N509" s="23"/>
      <c r="O509" s="25"/>
      <c r="P509" s="25"/>
      <c r="Q509" s="25"/>
      <c r="R509" s="25"/>
      <c r="S509" s="25"/>
      <c r="T509" s="25"/>
      <c r="U509" s="25"/>
      <c r="V509" s="28"/>
      <c r="W509" s="124"/>
    </row>
    <row r="510" spans="1:23" s="162" customFormat="1" ht="21.95" hidden="1" customHeight="1">
      <c r="A510" s="110" t="e">
        <f>#REF!</f>
        <v>#REF!</v>
      </c>
      <c r="B510" s="110" t="e">
        <f>#REF!</f>
        <v>#REF!</v>
      </c>
      <c r="C510" s="110" t="e">
        <f t="shared" si="78"/>
        <v>#REF!</v>
      </c>
      <c r="D510" s="99" t="s">
        <v>1450</v>
      </c>
      <c r="E510" s="475">
        <f t="shared" ref="E510:E514" si="92">MIN(G510,I510,K510,L510,M510)</f>
        <v>2366735</v>
      </c>
      <c r="F510" s="99"/>
      <c r="G510" s="475"/>
      <c r="H510" s="26"/>
      <c r="I510" s="27"/>
      <c r="J510" s="24"/>
      <c r="K510" s="27"/>
      <c r="L510" s="27">
        <v>2366735</v>
      </c>
      <c r="M510" s="475"/>
      <c r="N510" s="23"/>
      <c r="O510" s="25"/>
      <c r="P510" s="25"/>
      <c r="Q510" s="25"/>
      <c r="R510" s="25"/>
      <c r="S510" s="25"/>
      <c r="T510" s="25"/>
      <c r="U510" s="25"/>
      <c r="V510" s="28"/>
      <c r="W510" s="124"/>
    </row>
    <row r="511" spans="1:23" s="162" customFormat="1" ht="21.95" hidden="1" customHeight="1">
      <c r="A511" s="110" t="e">
        <f>#REF!</f>
        <v>#REF!</v>
      </c>
      <c r="B511" s="110" t="e">
        <f>#REF!</f>
        <v>#REF!</v>
      </c>
      <c r="C511" s="110" t="e">
        <f t="shared" si="78"/>
        <v>#REF!</v>
      </c>
      <c r="D511" s="99" t="s">
        <v>419</v>
      </c>
      <c r="E511" s="475">
        <f t="shared" si="92"/>
        <v>260000</v>
      </c>
      <c r="F511" s="99"/>
      <c r="G511" s="475"/>
      <c r="H511" s="26"/>
      <c r="I511" s="27"/>
      <c r="J511" s="24"/>
      <c r="K511" s="27"/>
      <c r="L511" s="27">
        <v>260000</v>
      </c>
      <c r="M511" s="475"/>
      <c r="N511" s="23"/>
      <c r="O511" s="25"/>
      <c r="P511" s="25"/>
      <c r="Q511" s="25"/>
      <c r="R511" s="25"/>
      <c r="S511" s="25"/>
      <c r="T511" s="25"/>
      <c r="U511" s="25"/>
      <c r="V511" s="28"/>
      <c r="W511" s="124"/>
    </row>
    <row r="512" spans="1:23" s="162" customFormat="1" ht="21.95" hidden="1" customHeight="1">
      <c r="A512" s="110" t="e">
        <f>#REF!</f>
        <v>#REF!</v>
      </c>
      <c r="B512" s="110" t="e">
        <f>#REF!</f>
        <v>#REF!</v>
      </c>
      <c r="C512" s="110" t="e">
        <f t="shared" si="78"/>
        <v>#REF!</v>
      </c>
      <c r="D512" s="99" t="s">
        <v>419</v>
      </c>
      <c r="E512" s="475">
        <f t="shared" si="92"/>
        <v>140000</v>
      </c>
      <c r="F512" s="99"/>
      <c r="G512" s="475"/>
      <c r="H512" s="26"/>
      <c r="I512" s="27"/>
      <c r="J512" s="24"/>
      <c r="K512" s="27"/>
      <c r="L512" s="27">
        <v>140000</v>
      </c>
      <c r="M512" s="475"/>
      <c r="N512" s="23"/>
      <c r="O512" s="25"/>
      <c r="P512" s="25"/>
      <c r="Q512" s="25"/>
      <c r="R512" s="25"/>
      <c r="S512" s="25"/>
      <c r="T512" s="25"/>
      <c r="U512" s="25"/>
      <c r="V512" s="28"/>
      <c r="W512" s="124"/>
    </row>
    <row r="513" spans="1:23" s="162" customFormat="1" ht="21.95" hidden="1" customHeight="1">
      <c r="A513" s="110" t="e">
        <f>#REF!</f>
        <v>#REF!</v>
      </c>
      <c r="B513" s="110" t="e">
        <f>#REF!</f>
        <v>#REF!</v>
      </c>
      <c r="C513" s="110" t="e">
        <f t="shared" si="78"/>
        <v>#REF!</v>
      </c>
      <c r="D513" s="99" t="s">
        <v>419</v>
      </c>
      <c r="E513" s="475">
        <f t="shared" si="92"/>
        <v>40000</v>
      </c>
      <c r="F513" s="99"/>
      <c r="G513" s="475"/>
      <c r="H513" s="26"/>
      <c r="I513" s="27"/>
      <c r="J513" s="24"/>
      <c r="K513" s="27"/>
      <c r="L513" s="27">
        <v>40000</v>
      </c>
      <c r="M513" s="475"/>
      <c r="N513" s="23"/>
      <c r="O513" s="25"/>
      <c r="P513" s="25"/>
      <c r="Q513" s="25"/>
      <c r="R513" s="25"/>
      <c r="S513" s="25"/>
      <c r="T513" s="25"/>
      <c r="U513" s="25"/>
      <c r="V513" s="28"/>
      <c r="W513" s="124"/>
    </row>
    <row r="514" spans="1:23" s="162" customFormat="1" ht="21.95" hidden="1" customHeight="1">
      <c r="A514" s="110" t="e">
        <f>#REF!</f>
        <v>#REF!</v>
      </c>
      <c r="B514" s="110" t="e">
        <f>#REF!</f>
        <v>#REF!</v>
      </c>
      <c r="C514" s="110" t="e">
        <f t="shared" si="78"/>
        <v>#REF!</v>
      </c>
      <c r="D514" s="99" t="s">
        <v>419</v>
      </c>
      <c r="E514" s="475">
        <f t="shared" si="92"/>
        <v>20000</v>
      </c>
      <c r="F514" s="99"/>
      <c r="G514" s="475"/>
      <c r="H514" s="26"/>
      <c r="I514" s="27"/>
      <c r="J514" s="24"/>
      <c r="K514" s="27"/>
      <c r="L514" s="27">
        <v>20000</v>
      </c>
      <c r="M514" s="475"/>
      <c r="N514" s="23"/>
      <c r="O514" s="25"/>
      <c r="P514" s="25"/>
      <c r="Q514" s="25"/>
      <c r="R514" s="25"/>
      <c r="S514" s="25"/>
      <c r="T514" s="25"/>
      <c r="U514" s="25"/>
      <c r="V514" s="28"/>
      <c r="W514" s="124"/>
    </row>
    <row r="515" spans="1:23" s="162" customFormat="1" ht="21.95" hidden="1" customHeight="1">
      <c r="A515" s="110" t="e">
        <f>#REF!</f>
        <v>#REF!</v>
      </c>
      <c r="B515" s="110" t="e">
        <f>#REF!</f>
        <v>#REF!</v>
      </c>
      <c r="C515" s="110" t="e">
        <f t="shared" si="78"/>
        <v>#REF!</v>
      </c>
      <c r="D515" s="99" t="s">
        <v>419</v>
      </c>
      <c r="E515" s="475">
        <f t="shared" ref="E515:E516" si="93">MIN(G515,I515,K515,L515,M515)</f>
        <v>61000</v>
      </c>
      <c r="F515" s="99"/>
      <c r="G515" s="475"/>
      <c r="H515" s="26"/>
      <c r="I515" s="27"/>
      <c r="J515" s="24"/>
      <c r="K515" s="27"/>
      <c r="L515" s="27">
        <v>61000</v>
      </c>
      <c r="M515" s="475"/>
      <c r="N515" s="23"/>
      <c r="O515" s="25"/>
      <c r="P515" s="25"/>
      <c r="Q515" s="25"/>
      <c r="R515" s="25"/>
      <c r="S515" s="25"/>
      <c r="T515" s="25"/>
      <c r="U515" s="25"/>
      <c r="V515" s="28"/>
      <c r="W515" s="124"/>
    </row>
    <row r="516" spans="1:23" s="162" customFormat="1" ht="21.95" hidden="1" customHeight="1">
      <c r="A516" s="110" t="e">
        <f>#REF!</f>
        <v>#REF!</v>
      </c>
      <c r="B516" s="110" t="e">
        <f>#REF!</f>
        <v>#REF!</v>
      </c>
      <c r="C516" s="110" t="e">
        <f t="shared" si="78"/>
        <v>#REF!</v>
      </c>
      <c r="D516" s="99" t="s">
        <v>419</v>
      </c>
      <c r="E516" s="475">
        <f t="shared" si="93"/>
        <v>6500</v>
      </c>
      <c r="F516" s="99"/>
      <c r="G516" s="475"/>
      <c r="H516" s="26"/>
      <c r="I516" s="27"/>
      <c r="J516" s="24"/>
      <c r="K516" s="27"/>
      <c r="L516" s="27">
        <v>6500</v>
      </c>
      <c r="M516" s="475"/>
      <c r="N516" s="23"/>
      <c r="O516" s="25"/>
      <c r="P516" s="25"/>
      <c r="Q516" s="25"/>
      <c r="R516" s="25"/>
      <c r="S516" s="25"/>
      <c r="T516" s="25"/>
      <c r="U516" s="25"/>
      <c r="V516" s="28"/>
      <c r="W516" s="124"/>
    </row>
    <row r="517" spans="1:23" s="162" customFormat="1" ht="21.95" hidden="1" customHeight="1">
      <c r="A517" s="110" t="e">
        <f>#REF!</f>
        <v>#REF!</v>
      </c>
      <c r="B517" s="110" t="e">
        <f>#REF!</f>
        <v>#REF!</v>
      </c>
      <c r="C517" s="110" t="e">
        <f t="shared" si="78"/>
        <v>#REF!</v>
      </c>
      <c r="D517" s="99" t="s">
        <v>419</v>
      </c>
      <c r="E517" s="475">
        <f t="shared" ref="E517" si="94">MIN(G517,I517,K517,L517,M517)</f>
        <v>1049</v>
      </c>
      <c r="F517" s="99"/>
      <c r="G517" s="475">
        <v>1049</v>
      </c>
      <c r="H517" s="26"/>
      <c r="I517" s="27"/>
      <c r="J517" s="24">
        <v>1723</v>
      </c>
      <c r="K517" s="27">
        <v>5258</v>
      </c>
      <c r="L517" s="27"/>
      <c r="M517" s="475"/>
      <c r="N517" s="23"/>
      <c r="O517" s="25"/>
      <c r="P517" s="25"/>
      <c r="Q517" s="25"/>
      <c r="R517" s="25"/>
      <c r="S517" s="25"/>
      <c r="T517" s="25"/>
      <c r="U517" s="25"/>
      <c r="V517" s="28"/>
      <c r="W517" s="124"/>
    </row>
    <row r="518" spans="1:23" s="162" customFormat="1" ht="21.95" hidden="1" customHeight="1">
      <c r="A518" s="110" t="e">
        <f>#REF!</f>
        <v>#REF!</v>
      </c>
      <c r="B518" s="110" t="e">
        <f>#REF!</f>
        <v>#REF!</v>
      </c>
      <c r="C518" s="110" t="e">
        <f t="shared" si="78"/>
        <v>#REF!</v>
      </c>
      <c r="D518" s="99" t="s">
        <v>419</v>
      </c>
      <c r="E518" s="475">
        <f t="shared" ref="E518:E519" si="95">MIN(G518,I518,K518,L518,M518)</f>
        <v>488</v>
      </c>
      <c r="F518" s="99"/>
      <c r="G518" s="475">
        <v>488</v>
      </c>
      <c r="H518" s="26"/>
      <c r="I518" s="27"/>
      <c r="J518" s="24">
        <v>1723</v>
      </c>
      <c r="K518" s="27">
        <v>2521</v>
      </c>
      <c r="L518" s="27"/>
      <c r="M518" s="475"/>
      <c r="N518" s="23"/>
      <c r="O518" s="25"/>
      <c r="P518" s="25"/>
      <c r="Q518" s="25"/>
      <c r="R518" s="25"/>
      <c r="S518" s="25"/>
      <c r="T518" s="25"/>
      <c r="U518" s="25"/>
      <c r="V518" s="28"/>
      <c r="W518" s="124"/>
    </row>
    <row r="519" spans="1:23" s="162" customFormat="1" ht="21.95" hidden="1" customHeight="1">
      <c r="A519" s="110" t="e">
        <f>#REF!</f>
        <v>#REF!</v>
      </c>
      <c r="B519" s="110" t="e">
        <f>#REF!</f>
        <v>#REF!</v>
      </c>
      <c r="C519" s="110" t="e">
        <f t="shared" si="78"/>
        <v>#REF!</v>
      </c>
      <c r="D519" s="99" t="s">
        <v>419</v>
      </c>
      <c r="E519" s="475">
        <f t="shared" si="95"/>
        <v>873</v>
      </c>
      <c r="F519" s="99"/>
      <c r="G519" s="475">
        <v>873</v>
      </c>
      <c r="H519" s="26"/>
      <c r="I519" s="27"/>
      <c r="J519" s="24">
        <v>1723</v>
      </c>
      <c r="K519" s="27">
        <v>4213</v>
      </c>
      <c r="L519" s="27"/>
      <c r="M519" s="475"/>
      <c r="N519" s="23"/>
      <c r="O519" s="25"/>
      <c r="P519" s="25"/>
      <c r="Q519" s="25"/>
      <c r="R519" s="25"/>
      <c r="S519" s="25"/>
      <c r="T519" s="25"/>
      <c r="U519" s="25"/>
      <c r="V519" s="28"/>
      <c r="W519" s="124"/>
    </row>
    <row r="520" spans="1:23" s="162" customFormat="1" ht="21.95" hidden="1" customHeight="1">
      <c r="A520" s="110" t="e">
        <f>#REF!</f>
        <v>#REF!</v>
      </c>
      <c r="B520" s="110" t="e">
        <f>#REF!</f>
        <v>#REF!</v>
      </c>
      <c r="C520" s="110" t="e">
        <f t="shared" ref="C520" si="96">A520&amp;B520</f>
        <v>#REF!</v>
      </c>
      <c r="D520" s="99" t="s">
        <v>419</v>
      </c>
      <c r="E520" s="475">
        <f t="shared" ref="E520:E522" si="97">MIN(G520,I520,K520,L520,M520)</f>
        <v>5800</v>
      </c>
      <c r="F520" s="99"/>
      <c r="G520" s="475">
        <v>5800</v>
      </c>
      <c r="H520" s="26"/>
      <c r="I520" s="27"/>
      <c r="J520" s="24" t="s">
        <v>1568</v>
      </c>
      <c r="K520" s="27">
        <v>19790</v>
      </c>
      <c r="L520" s="27"/>
      <c r="M520" s="475"/>
      <c r="N520" s="23"/>
      <c r="O520" s="25"/>
      <c r="P520" s="25"/>
      <c r="Q520" s="25"/>
      <c r="R520" s="25"/>
      <c r="S520" s="25"/>
      <c r="T520" s="25"/>
      <c r="U520" s="25"/>
      <c r="V520" s="28"/>
      <c r="W520" s="124"/>
    </row>
    <row r="521" spans="1:23" s="162" customFormat="1" ht="21.95" hidden="1" customHeight="1">
      <c r="A521" s="110" t="e">
        <f>#REF!</f>
        <v>#REF!</v>
      </c>
      <c r="B521" s="110" t="e">
        <f>#REF!</f>
        <v>#REF!</v>
      </c>
      <c r="C521" s="110" t="e">
        <f t="shared" ref="C521" si="98">A521&amp;B521</f>
        <v>#REF!</v>
      </c>
      <c r="D521" s="99" t="s">
        <v>419</v>
      </c>
      <c r="E521" s="475">
        <f t="shared" si="97"/>
        <v>284000</v>
      </c>
      <c r="F521" s="99"/>
      <c r="G521" s="475"/>
      <c r="H521" s="26"/>
      <c r="I521" s="27"/>
      <c r="J521" s="24"/>
      <c r="K521" s="27"/>
      <c r="L521" s="122">
        <v>284000</v>
      </c>
      <c r="M521" s="475"/>
      <c r="N521" s="23"/>
      <c r="O521" s="25"/>
      <c r="P521" s="25"/>
      <c r="Q521" s="25"/>
      <c r="R521" s="25"/>
      <c r="S521" s="25"/>
      <c r="T521" s="25"/>
      <c r="U521" s="25"/>
      <c r="V521" s="28"/>
      <c r="W521" s="124"/>
    </row>
    <row r="522" spans="1:23" s="162" customFormat="1" ht="21.95" customHeight="1">
      <c r="A522" s="110" t="s">
        <v>1841</v>
      </c>
      <c r="B522" s="110" t="s">
        <v>1842</v>
      </c>
      <c r="C522" s="110"/>
      <c r="D522" s="99" t="s">
        <v>1843</v>
      </c>
      <c r="E522" s="549">
        <f t="shared" si="97"/>
        <v>18450000</v>
      </c>
      <c r="F522" s="99"/>
      <c r="G522" s="475"/>
      <c r="H522" s="26"/>
      <c r="I522" s="27"/>
      <c r="J522" s="24"/>
      <c r="K522" s="27"/>
      <c r="L522" s="122">
        <v>18450000</v>
      </c>
      <c r="M522" s="552">
        <v>19000000</v>
      </c>
      <c r="N522" s="23"/>
      <c r="O522" s="25"/>
      <c r="P522" s="25"/>
      <c r="Q522" s="25"/>
      <c r="R522" s="25"/>
      <c r="S522" s="25"/>
      <c r="T522" s="25"/>
      <c r="U522" s="25"/>
      <c r="V522" s="28"/>
      <c r="W522" s="124"/>
    </row>
    <row r="523" spans="1:23" s="162" customFormat="1" ht="21.95" customHeight="1">
      <c r="A523" s="110"/>
      <c r="B523" s="110"/>
      <c r="C523" s="110"/>
      <c r="D523" s="99"/>
      <c r="E523" s="475"/>
      <c r="F523" s="99"/>
      <c r="G523" s="475"/>
      <c r="H523" s="26"/>
      <c r="I523" s="27"/>
      <c r="J523" s="24"/>
      <c r="K523" s="27"/>
      <c r="L523" s="122"/>
      <c r="M523" s="475"/>
      <c r="N523" s="23"/>
      <c r="O523" s="25"/>
      <c r="P523" s="25"/>
      <c r="Q523" s="25"/>
      <c r="R523" s="25"/>
      <c r="S523" s="25"/>
      <c r="T523" s="25"/>
      <c r="U523" s="25"/>
      <c r="V523" s="28"/>
      <c r="W523" s="124"/>
    </row>
    <row r="524" spans="1:23" s="162" customFormat="1" ht="21.95" customHeight="1">
      <c r="A524" s="110"/>
      <c r="B524" s="110"/>
      <c r="C524" s="110"/>
      <c r="D524" s="99"/>
      <c r="E524" s="475"/>
      <c r="F524" s="99"/>
      <c r="G524" s="475"/>
      <c r="H524" s="26"/>
      <c r="I524" s="27"/>
      <c r="J524" s="24"/>
      <c r="K524" s="27"/>
      <c r="L524" s="122"/>
      <c r="M524" s="475"/>
      <c r="N524" s="23"/>
      <c r="O524" s="25"/>
      <c r="P524" s="25"/>
      <c r="Q524" s="25"/>
      <c r="R524" s="25"/>
      <c r="S524" s="25"/>
      <c r="T524" s="25"/>
      <c r="U524" s="25"/>
      <c r="V524" s="28"/>
      <c r="W524" s="124"/>
    </row>
    <row r="525" spans="1:23" s="162" customFormat="1" ht="21.95" customHeight="1">
      <c r="A525" s="110"/>
      <c r="B525" s="110"/>
      <c r="C525" s="110"/>
      <c r="D525" s="99"/>
      <c r="E525" s="475"/>
      <c r="F525" s="99"/>
      <c r="G525" s="475"/>
      <c r="H525" s="26"/>
      <c r="I525" s="27"/>
      <c r="J525" s="24"/>
      <c r="K525" s="27"/>
      <c r="L525" s="122"/>
      <c r="M525" s="475"/>
      <c r="N525" s="23"/>
      <c r="O525" s="25"/>
      <c r="P525" s="25"/>
      <c r="Q525" s="25"/>
      <c r="R525" s="25"/>
      <c r="S525" s="25"/>
      <c r="T525" s="25"/>
      <c r="U525" s="25"/>
      <c r="V525" s="28"/>
      <c r="W525" s="124"/>
    </row>
    <row r="526" spans="1:23" s="162" customFormat="1" ht="21.95" customHeight="1">
      <c r="A526" s="110"/>
      <c r="B526" s="110"/>
      <c r="C526" s="110"/>
      <c r="D526" s="99"/>
      <c r="E526" s="475"/>
      <c r="F526" s="99"/>
      <c r="G526" s="475"/>
      <c r="H526" s="26"/>
      <c r="I526" s="27"/>
      <c r="J526" s="24"/>
      <c r="K526" s="27"/>
      <c r="L526" s="122"/>
      <c r="M526" s="475"/>
      <c r="N526" s="23"/>
      <c r="O526" s="25"/>
      <c r="P526" s="25"/>
      <c r="Q526" s="25"/>
      <c r="R526" s="25"/>
      <c r="S526" s="25"/>
      <c r="T526" s="25"/>
      <c r="U526" s="25"/>
      <c r="V526" s="28"/>
      <c r="W526" s="124"/>
    </row>
    <row r="527" spans="1:23" s="162" customFormat="1" ht="21.95" customHeight="1">
      <c r="A527" s="110"/>
      <c r="B527" s="110"/>
      <c r="C527" s="110"/>
      <c r="D527" s="99"/>
      <c r="E527" s="475"/>
      <c r="F527" s="99"/>
      <c r="G527" s="475"/>
      <c r="H527" s="26"/>
      <c r="I527" s="27"/>
      <c r="J527" s="24"/>
      <c r="K527" s="27"/>
      <c r="L527" s="122"/>
      <c r="M527" s="475"/>
      <c r="N527" s="23"/>
      <c r="O527" s="25"/>
      <c r="P527" s="25"/>
      <c r="Q527" s="25"/>
      <c r="R527" s="25"/>
      <c r="S527" s="25"/>
      <c r="T527" s="25"/>
      <c r="U527" s="25"/>
      <c r="V527" s="28"/>
      <c r="W527" s="124"/>
    </row>
    <row r="528" spans="1:23" s="162" customFormat="1" ht="21.95" customHeight="1">
      <c r="A528" s="110"/>
      <c r="B528" s="110"/>
      <c r="C528" s="110"/>
      <c r="D528" s="99"/>
      <c r="E528" s="475"/>
      <c r="F528" s="99"/>
      <c r="G528" s="475"/>
      <c r="H528" s="26"/>
      <c r="I528" s="27"/>
      <c r="J528" s="24"/>
      <c r="K528" s="27"/>
      <c r="L528" s="122"/>
      <c r="M528" s="475"/>
      <c r="N528" s="23"/>
      <c r="O528" s="25"/>
      <c r="P528" s="25"/>
      <c r="Q528" s="25"/>
      <c r="R528" s="25"/>
      <c r="S528" s="25"/>
      <c r="T528" s="25"/>
      <c r="U528" s="25"/>
      <c r="V528" s="28"/>
      <c r="W528" s="124"/>
    </row>
    <row r="529" spans="1:24" s="162" customFormat="1" ht="21.95" customHeight="1">
      <c r="A529" s="110"/>
      <c r="B529" s="110"/>
      <c r="C529" s="110"/>
      <c r="D529" s="99"/>
      <c r="E529" s="475"/>
      <c r="F529" s="99"/>
      <c r="G529" s="475"/>
      <c r="H529" s="26"/>
      <c r="I529" s="27"/>
      <c r="J529" s="24"/>
      <c r="K529" s="27"/>
      <c r="L529" s="122"/>
      <c r="M529" s="475"/>
      <c r="N529" s="23"/>
      <c r="O529" s="25"/>
      <c r="P529" s="25"/>
      <c r="Q529" s="25"/>
      <c r="R529" s="25"/>
      <c r="S529" s="25"/>
      <c r="T529" s="25"/>
      <c r="U529" s="25"/>
      <c r="V529" s="28"/>
      <c r="W529" s="124"/>
    </row>
    <row r="530" spans="1:24" s="162" customFormat="1" ht="21.95" hidden="1" customHeight="1">
      <c r="A530" s="110"/>
      <c r="B530" s="110"/>
      <c r="C530" s="110"/>
      <c r="D530" s="99"/>
      <c r="E530" s="475"/>
      <c r="F530" s="99"/>
      <c r="G530" s="475"/>
      <c r="H530" s="26"/>
      <c r="I530" s="27"/>
      <c r="J530" s="24"/>
      <c r="K530" s="27"/>
      <c r="L530" s="122"/>
      <c r="M530" s="475"/>
      <c r="N530" s="23"/>
      <c r="O530" s="25"/>
      <c r="P530" s="25"/>
      <c r="Q530" s="25"/>
      <c r="R530" s="25"/>
      <c r="S530" s="25"/>
      <c r="T530" s="25"/>
      <c r="U530" s="25"/>
      <c r="V530" s="28"/>
      <c r="W530" s="124"/>
    </row>
    <row r="531" spans="1:24" s="162" customFormat="1" ht="21.95" hidden="1" customHeight="1">
      <c r="A531" s="110"/>
      <c r="B531" s="110"/>
      <c r="C531" s="110"/>
      <c r="D531" s="99"/>
      <c r="E531" s="475"/>
      <c r="F531" s="99"/>
      <c r="G531" s="475"/>
      <c r="H531" s="26"/>
      <c r="I531" s="27"/>
      <c r="J531" s="24"/>
      <c r="K531" s="27"/>
      <c r="L531" s="122"/>
      <c r="M531" s="475"/>
      <c r="N531" s="23"/>
      <c r="O531" s="25"/>
      <c r="P531" s="25"/>
      <c r="Q531" s="25"/>
      <c r="R531" s="25"/>
      <c r="S531" s="25"/>
      <c r="T531" s="25"/>
      <c r="U531" s="25"/>
      <c r="V531" s="28"/>
      <c r="W531" s="124"/>
    </row>
    <row r="532" spans="1:24" s="162" customFormat="1" ht="21.95" hidden="1" customHeight="1">
      <c r="A532" s="110"/>
      <c r="B532" s="110"/>
      <c r="C532" s="110"/>
      <c r="D532" s="99"/>
      <c r="E532" s="475"/>
      <c r="F532" s="99"/>
      <c r="G532" s="475"/>
      <c r="H532" s="26"/>
      <c r="I532" s="27"/>
      <c r="J532" s="24"/>
      <c r="K532" s="27"/>
      <c r="L532" s="122"/>
      <c r="M532" s="475"/>
      <c r="N532" s="23"/>
      <c r="O532" s="25"/>
      <c r="P532" s="25"/>
      <c r="Q532" s="25"/>
      <c r="R532" s="25"/>
      <c r="S532" s="25"/>
      <c r="T532" s="25"/>
      <c r="U532" s="25"/>
      <c r="V532" s="28"/>
      <c r="W532" s="124"/>
    </row>
    <row r="533" spans="1:24" s="162" customFormat="1" ht="21.95" hidden="1" customHeight="1">
      <c r="A533" s="110"/>
      <c r="B533" s="110"/>
      <c r="C533" s="110"/>
      <c r="D533" s="99"/>
      <c r="E533" s="475"/>
      <c r="F533" s="99"/>
      <c r="G533" s="475"/>
      <c r="H533" s="26"/>
      <c r="I533" s="27"/>
      <c r="J533" s="24"/>
      <c r="K533" s="27"/>
      <c r="L533" s="122"/>
      <c r="M533" s="475"/>
      <c r="N533" s="23"/>
      <c r="O533" s="25"/>
      <c r="P533" s="25"/>
      <c r="Q533" s="25"/>
      <c r="R533" s="25"/>
      <c r="S533" s="25"/>
      <c r="T533" s="25"/>
      <c r="U533" s="25"/>
      <c r="V533" s="28"/>
      <c r="W533" s="124"/>
    </row>
    <row r="534" spans="1:24" s="162" customFormat="1" ht="21.95" hidden="1" customHeight="1">
      <c r="A534" s="110"/>
      <c r="B534" s="110"/>
      <c r="C534" s="110"/>
      <c r="D534" s="99"/>
      <c r="E534" s="475"/>
      <c r="F534" s="99"/>
      <c r="G534" s="475"/>
      <c r="H534" s="26"/>
      <c r="I534" s="27"/>
      <c r="J534" s="24"/>
      <c r="K534" s="27"/>
      <c r="L534" s="122"/>
      <c r="M534" s="475"/>
      <c r="N534" s="23"/>
      <c r="O534" s="25"/>
      <c r="P534" s="25"/>
      <c r="Q534" s="25"/>
      <c r="R534" s="25"/>
      <c r="S534" s="25"/>
      <c r="T534" s="25"/>
      <c r="U534" s="25"/>
      <c r="V534" s="28"/>
      <c r="W534" s="124"/>
    </row>
    <row r="535" spans="1:24" s="162" customFormat="1" ht="21.95" hidden="1" customHeight="1">
      <c r="A535" s="110"/>
      <c r="B535" s="110"/>
      <c r="C535" s="110"/>
      <c r="D535" s="99"/>
      <c r="E535" s="475"/>
      <c r="F535" s="99"/>
      <c r="G535" s="475"/>
      <c r="H535" s="26"/>
      <c r="I535" s="27"/>
      <c r="J535" s="24"/>
      <c r="K535" s="27"/>
      <c r="L535" s="122"/>
      <c r="M535" s="475"/>
      <c r="N535" s="23"/>
      <c r="O535" s="25"/>
      <c r="P535" s="25"/>
      <c r="Q535" s="25"/>
      <c r="R535" s="25"/>
      <c r="S535" s="25"/>
      <c r="T535" s="25"/>
      <c r="U535" s="25"/>
      <c r="V535" s="28"/>
      <c r="W535" s="124"/>
    </row>
    <row r="536" spans="1:24" s="162" customFormat="1" ht="21.95" hidden="1" customHeight="1">
      <c r="A536" s="110"/>
      <c r="B536" s="110"/>
      <c r="C536" s="110"/>
      <c r="D536" s="99"/>
      <c r="E536" s="475"/>
      <c r="F536" s="99"/>
      <c r="G536" s="475"/>
      <c r="H536" s="26"/>
      <c r="I536" s="27"/>
      <c r="J536" s="24"/>
      <c r="K536" s="27"/>
      <c r="L536" s="122"/>
      <c r="M536" s="475"/>
      <c r="N536" s="23"/>
      <c r="O536" s="25"/>
      <c r="P536" s="25"/>
      <c r="Q536" s="25"/>
      <c r="R536" s="25"/>
      <c r="S536" s="25"/>
      <c r="T536" s="25"/>
      <c r="U536" s="25"/>
      <c r="V536" s="28"/>
      <c r="W536" s="124"/>
    </row>
    <row r="537" spans="1:24" s="162" customFormat="1" ht="21.95" hidden="1" customHeight="1">
      <c r="A537" s="110"/>
      <c r="B537" s="110"/>
      <c r="C537" s="110"/>
      <c r="D537" s="99"/>
      <c r="E537" s="475"/>
      <c r="F537" s="99"/>
      <c r="G537" s="475"/>
      <c r="H537" s="26"/>
      <c r="I537" s="27"/>
      <c r="J537" s="24"/>
      <c r="K537" s="27"/>
      <c r="L537" s="122"/>
      <c r="M537" s="475"/>
      <c r="N537" s="23"/>
      <c r="O537" s="25"/>
      <c r="P537" s="25"/>
      <c r="Q537" s="25"/>
      <c r="R537" s="25"/>
      <c r="S537" s="25"/>
      <c r="T537" s="25"/>
      <c r="U537" s="25"/>
      <c r="V537" s="28"/>
      <c r="W537" s="124"/>
    </row>
    <row r="538" spans="1:24" ht="21" hidden="1" customHeight="1">
      <c r="A538" s="110"/>
      <c r="B538" s="110"/>
      <c r="C538" s="110"/>
      <c r="D538" s="99"/>
      <c r="E538" s="475"/>
      <c r="F538" s="99"/>
      <c r="G538" s="475"/>
      <c r="H538" s="164"/>
      <c r="I538" s="402"/>
      <c r="J538" s="186"/>
      <c r="K538" s="402"/>
      <c r="L538" s="126"/>
      <c r="M538" s="475"/>
      <c r="N538" s="475"/>
      <c r="O538" s="23"/>
      <c r="P538" s="25"/>
      <c r="Q538" s="30"/>
      <c r="R538" s="30"/>
      <c r="S538" s="30"/>
      <c r="T538" s="30"/>
      <c r="U538" s="30"/>
      <c r="V538" s="30"/>
      <c r="W538" s="30"/>
      <c r="X538" s="174"/>
    </row>
    <row r="539" spans="1:24" ht="21" hidden="1" customHeight="1">
      <c r="A539" s="110"/>
      <c r="B539" s="110"/>
      <c r="C539" s="110"/>
      <c r="D539" s="99"/>
      <c r="E539" s="475"/>
      <c r="F539" s="99"/>
      <c r="G539" s="475"/>
      <c r="H539" s="164"/>
      <c r="I539" s="402"/>
      <c r="J539" s="186"/>
      <c r="K539" s="402"/>
      <c r="L539" s="126"/>
      <c r="M539" s="475"/>
      <c r="N539" s="475"/>
      <c r="O539" s="23"/>
      <c r="P539" s="25"/>
      <c r="Q539" s="30"/>
      <c r="R539" s="30"/>
      <c r="S539" s="30"/>
      <c r="T539" s="30"/>
      <c r="U539" s="30"/>
      <c r="V539" s="30"/>
      <c r="W539" s="30"/>
      <c r="X539" s="174"/>
    </row>
    <row r="540" spans="1:24" ht="21" hidden="1" customHeight="1">
      <c r="A540" s="110"/>
      <c r="B540" s="110"/>
      <c r="C540" s="110"/>
      <c r="D540" s="99"/>
      <c r="E540" s="475"/>
      <c r="F540" s="99"/>
      <c r="G540" s="475"/>
      <c r="H540" s="164"/>
      <c r="I540" s="402"/>
      <c r="J540" s="186"/>
      <c r="K540" s="402"/>
      <c r="L540" s="126"/>
      <c r="M540" s="475"/>
      <c r="N540" s="475"/>
      <c r="O540" s="23"/>
      <c r="P540" s="25"/>
      <c r="Q540" s="30"/>
      <c r="R540" s="30"/>
      <c r="S540" s="30"/>
      <c r="T540" s="30"/>
      <c r="U540" s="30"/>
      <c r="V540" s="30"/>
      <c r="W540" s="30"/>
      <c r="X540" s="174"/>
    </row>
    <row r="541" spans="1:24" ht="21" hidden="1" customHeight="1">
      <c r="A541" s="110"/>
      <c r="B541" s="110"/>
      <c r="C541" s="110"/>
      <c r="D541" s="99"/>
      <c r="E541" s="475"/>
      <c r="F541" s="99"/>
      <c r="G541" s="475"/>
      <c r="H541" s="164"/>
      <c r="I541" s="402"/>
      <c r="J541" s="186"/>
      <c r="K541" s="402"/>
      <c r="L541" s="126"/>
      <c r="M541" s="475"/>
      <c r="N541" s="475"/>
      <c r="O541" s="23"/>
      <c r="P541" s="25"/>
      <c r="Q541" s="30"/>
      <c r="R541" s="30"/>
      <c r="S541" s="30"/>
      <c r="T541" s="30"/>
      <c r="U541" s="30"/>
      <c r="V541" s="30"/>
      <c r="W541" s="30"/>
      <c r="X541" s="174"/>
    </row>
    <row r="542" spans="1:24" ht="21" hidden="1" customHeight="1">
      <c r="A542" s="110"/>
      <c r="B542" s="110"/>
      <c r="C542" s="110"/>
      <c r="D542" s="99"/>
      <c r="E542" s="475"/>
      <c r="F542" s="99"/>
      <c r="G542" s="475"/>
      <c r="H542" s="164"/>
      <c r="I542" s="402"/>
      <c r="J542" s="186"/>
      <c r="K542" s="402"/>
      <c r="L542" s="126"/>
      <c r="M542" s="475"/>
      <c r="N542" s="475"/>
      <c r="O542" s="23"/>
      <c r="P542" s="25"/>
      <c r="Q542" s="30"/>
      <c r="R542" s="30"/>
      <c r="S542" s="30"/>
      <c r="T542" s="30"/>
      <c r="U542" s="30"/>
      <c r="V542" s="30"/>
      <c r="W542" s="30"/>
      <c r="X542" s="174"/>
    </row>
    <row r="543" spans="1:24" ht="21" customHeight="1">
      <c r="A543" s="110"/>
      <c r="B543" s="110"/>
      <c r="C543" s="110"/>
      <c r="D543" s="99"/>
      <c r="E543" s="475"/>
      <c r="F543" s="99"/>
      <c r="G543" s="475"/>
      <c r="H543" s="164"/>
      <c r="I543" s="402"/>
      <c r="J543" s="186"/>
      <c r="K543" s="402"/>
      <c r="L543" s="126"/>
      <c r="M543" s="475"/>
      <c r="N543" s="475"/>
      <c r="O543" s="23"/>
      <c r="P543" s="25"/>
      <c r="Q543" s="30"/>
      <c r="R543" s="30"/>
      <c r="S543" s="30"/>
      <c r="T543" s="30"/>
      <c r="U543" s="30"/>
      <c r="V543" s="30"/>
      <c r="W543" s="30"/>
      <c r="X543" s="174"/>
    </row>
    <row r="544" spans="1:24" ht="21.6" customHeight="1">
      <c r="A544" s="189" t="s">
        <v>1356</v>
      </c>
      <c r="B544" s="189" t="s">
        <v>478</v>
      </c>
      <c r="C544" s="110" t="str">
        <f t="shared" ref="C544:C577" si="99">A544&amp;B544</f>
        <v>노무비내선전공</v>
      </c>
      <c r="D544" s="99" t="s">
        <v>1357</v>
      </c>
      <c r="E544" s="475">
        <f>INT(MIN(G544,H544,J544,K544,L544,M544))</f>
        <v>273676</v>
      </c>
      <c r="F544" s="122"/>
      <c r="G544" s="475">
        <v>273676</v>
      </c>
      <c r="H544" s="164"/>
      <c r="I544" s="475"/>
      <c r="J544" s="186"/>
      <c r="K544" s="31"/>
      <c r="L544" s="122"/>
      <c r="M544" s="475"/>
      <c r="N544" s="475"/>
      <c r="O544" s="122"/>
      <c r="P544" s="475"/>
      <c r="Q544" s="127"/>
      <c r="R544" s="127"/>
      <c r="S544" s="127"/>
      <c r="T544" s="127"/>
      <c r="U544" s="127"/>
      <c r="V544" s="127"/>
      <c r="W544" s="127"/>
      <c r="X544" s="127"/>
    </row>
    <row r="545" spans="1:24" ht="21.6" customHeight="1">
      <c r="A545" s="189" t="s">
        <v>1356</v>
      </c>
      <c r="B545" s="189" t="s">
        <v>1703</v>
      </c>
      <c r="C545" s="110" t="str">
        <f t="shared" si="99"/>
        <v>노무비저압케이블공</v>
      </c>
      <c r="D545" s="99" t="s">
        <v>1357</v>
      </c>
      <c r="E545" s="475">
        <f t="shared" ref="E545:E577" si="100">INT(MIN(G545,H545,J545,K545,L545,M545))</f>
        <v>304156</v>
      </c>
      <c r="F545" s="122"/>
      <c r="G545" s="475">
        <v>304156</v>
      </c>
      <c r="H545" s="164"/>
      <c r="I545" s="475"/>
      <c r="J545" s="186"/>
      <c r="K545" s="31"/>
      <c r="L545" s="122"/>
      <c r="M545" s="475"/>
      <c r="N545" s="475"/>
      <c r="O545" s="122"/>
      <c r="P545" s="475"/>
      <c r="Q545" s="127"/>
      <c r="R545" s="127"/>
      <c r="S545" s="127"/>
      <c r="T545" s="127"/>
      <c r="U545" s="127"/>
      <c r="V545" s="127"/>
      <c r="W545" s="127"/>
      <c r="X545" s="127"/>
    </row>
    <row r="546" spans="1:24" ht="21.6" customHeight="1">
      <c r="A546" s="189" t="s">
        <v>1356</v>
      </c>
      <c r="B546" s="189" t="s">
        <v>1704</v>
      </c>
      <c r="C546" s="110" t="str">
        <f t="shared" si="99"/>
        <v>노무비고압케이블공</v>
      </c>
      <c r="D546" s="99" t="s">
        <v>1357</v>
      </c>
      <c r="E546" s="475">
        <f t="shared" si="100"/>
        <v>373640</v>
      </c>
      <c r="F546" s="122"/>
      <c r="G546" s="475">
        <v>373640</v>
      </c>
      <c r="H546" s="164"/>
      <c r="I546" s="475"/>
      <c r="J546" s="186"/>
      <c r="K546" s="31"/>
      <c r="L546" s="122"/>
      <c r="M546" s="475"/>
      <c r="N546" s="475"/>
      <c r="O546" s="122"/>
      <c r="P546" s="475"/>
      <c r="Q546" s="127"/>
      <c r="R546" s="127"/>
      <c r="S546" s="127"/>
      <c r="T546" s="127"/>
      <c r="U546" s="127"/>
      <c r="V546" s="127"/>
      <c r="W546" s="127"/>
      <c r="X546" s="127"/>
    </row>
    <row r="547" spans="1:24" ht="21.6" customHeight="1">
      <c r="A547" s="189" t="s">
        <v>1356</v>
      </c>
      <c r="B547" s="189" t="s">
        <v>1705</v>
      </c>
      <c r="C547" s="110" t="str">
        <f t="shared" si="99"/>
        <v>노무비보통인부</v>
      </c>
      <c r="D547" s="99" t="s">
        <v>1357</v>
      </c>
      <c r="E547" s="475">
        <f>INT(MIN(G547,H547,J547,K547,L547,M547))</f>
        <v>172068</v>
      </c>
      <c r="F547" s="122"/>
      <c r="G547" s="475">
        <v>172068</v>
      </c>
      <c r="H547" s="164"/>
      <c r="I547" s="475"/>
      <c r="J547" s="186"/>
      <c r="K547" s="31"/>
      <c r="L547" s="122"/>
      <c r="M547" s="475"/>
      <c r="N547" s="475"/>
      <c r="O547" s="122"/>
      <c r="P547" s="475"/>
      <c r="Q547" s="127"/>
      <c r="R547" s="127"/>
      <c r="S547" s="127"/>
      <c r="T547" s="127"/>
      <c r="U547" s="127"/>
      <c r="V547" s="127"/>
      <c r="W547" s="127"/>
      <c r="X547" s="127"/>
    </row>
    <row r="548" spans="1:24" ht="21.6" customHeight="1">
      <c r="A548" s="189" t="s">
        <v>1356</v>
      </c>
      <c r="B548" s="189" t="s">
        <v>1706</v>
      </c>
      <c r="C548" s="110" t="str">
        <f t="shared" si="99"/>
        <v>노무비광케이블설치사</v>
      </c>
      <c r="D548" s="99" t="s">
        <v>1357</v>
      </c>
      <c r="E548" s="475">
        <f t="shared" si="100"/>
        <v>471349</v>
      </c>
      <c r="F548" s="122"/>
      <c r="G548" s="475">
        <v>471349</v>
      </c>
      <c r="H548" s="164"/>
      <c r="I548" s="475"/>
      <c r="J548" s="186"/>
      <c r="K548" s="31"/>
      <c r="L548" s="122"/>
      <c r="M548" s="475"/>
      <c r="N548" s="475"/>
      <c r="O548" s="122"/>
      <c r="P548" s="475"/>
      <c r="Q548" s="127"/>
      <c r="R548" s="127"/>
      <c r="S548" s="127"/>
      <c r="T548" s="127"/>
      <c r="U548" s="127"/>
      <c r="V548" s="127"/>
      <c r="W548" s="127"/>
      <c r="X548" s="127"/>
    </row>
    <row r="549" spans="1:24" ht="21.6" customHeight="1">
      <c r="A549" s="189" t="s">
        <v>1356</v>
      </c>
      <c r="B549" s="189" t="s">
        <v>1707</v>
      </c>
      <c r="C549" s="110" t="str">
        <f t="shared" si="99"/>
        <v>노무비통신내선공</v>
      </c>
      <c r="D549" s="99" t="s">
        <v>1357</v>
      </c>
      <c r="E549" s="475">
        <f t="shared" si="100"/>
        <v>284880</v>
      </c>
      <c r="F549" s="122"/>
      <c r="G549" s="475">
        <v>284880</v>
      </c>
      <c r="H549" s="164"/>
      <c r="I549" s="475"/>
      <c r="J549" s="186"/>
      <c r="K549" s="31"/>
      <c r="L549" s="122"/>
      <c r="M549" s="475"/>
      <c r="N549" s="475"/>
      <c r="O549" s="122"/>
      <c r="P549" s="475"/>
      <c r="Q549" s="127"/>
      <c r="R549" s="127"/>
      <c r="S549" s="127"/>
      <c r="T549" s="127"/>
      <c r="U549" s="127"/>
      <c r="V549" s="127"/>
      <c r="W549" s="127"/>
      <c r="X549" s="127"/>
    </row>
    <row r="550" spans="1:24" ht="21.6" customHeight="1">
      <c r="A550" s="189" t="s">
        <v>1356</v>
      </c>
      <c r="B550" s="189" t="s">
        <v>1708</v>
      </c>
      <c r="C550" s="110" t="str">
        <f t="shared" si="99"/>
        <v>노무비통신설비공</v>
      </c>
      <c r="D550" s="99" t="s">
        <v>1357</v>
      </c>
      <c r="E550" s="475">
        <f t="shared" si="100"/>
        <v>315528</v>
      </c>
      <c r="F550" s="122"/>
      <c r="G550" s="475">
        <v>315528</v>
      </c>
      <c r="H550" s="164"/>
      <c r="I550" s="475"/>
      <c r="J550" s="186"/>
      <c r="K550" s="31"/>
      <c r="L550" s="122"/>
      <c r="M550" s="475"/>
      <c r="N550" s="475"/>
      <c r="O550" s="122"/>
      <c r="P550" s="475"/>
      <c r="Q550" s="127"/>
      <c r="R550" s="127"/>
      <c r="S550" s="127"/>
      <c r="T550" s="127"/>
      <c r="U550" s="127"/>
      <c r="V550" s="127"/>
      <c r="W550" s="127"/>
      <c r="X550" s="127"/>
    </row>
    <row r="551" spans="1:24" ht="21.6" customHeight="1">
      <c r="A551" s="189" t="s">
        <v>1356</v>
      </c>
      <c r="B551" s="189" t="s">
        <v>1709</v>
      </c>
      <c r="C551" s="110" t="str">
        <f t="shared" si="99"/>
        <v>노무비통신케이블공</v>
      </c>
      <c r="D551" s="99" t="s">
        <v>1357</v>
      </c>
      <c r="E551" s="475">
        <f t="shared" si="100"/>
        <v>436224</v>
      </c>
      <c r="F551" s="122"/>
      <c r="G551" s="475">
        <v>436224</v>
      </c>
      <c r="H551" s="164"/>
      <c r="I551" s="475"/>
      <c r="J551" s="186"/>
      <c r="K551" s="31"/>
      <c r="L551" s="122"/>
      <c r="M551" s="475"/>
      <c r="N551" s="475"/>
      <c r="O551" s="122"/>
      <c r="P551" s="475"/>
      <c r="Q551" s="127"/>
      <c r="R551" s="127"/>
      <c r="S551" s="127"/>
      <c r="T551" s="127"/>
      <c r="U551" s="127"/>
      <c r="V551" s="127"/>
      <c r="W551" s="127"/>
      <c r="X551" s="127"/>
    </row>
    <row r="552" spans="1:24" ht="21.6" customHeight="1">
      <c r="A552" s="189" t="s">
        <v>1356</v>
      </c>
      <c r="B552" s="189" t="s">
        <v>1710</v>
      </c>
      <c r="C552" s="110" t="str">
        <f t="shared" si="99"/>
        <v>노무비통신관련기사</v>
      </c>
      <c r="D552" s="99" t="s">
        <v>1357</v>
      </c>
      <c r="E552" s="475">
        <f t="shared" si="100"/>
        <v>320449</v>
      </c>
      <c r="F552" s="122"/>
      <c r="G552" s="475">
        <v>320449</v>
      </c>
      <c r="H552" s="164"/>
      <c r="I552" s="475"/>
      <c r="J552" s="186"/>
      <c r="K552" s="31"/>
      <c r="L552" s="122"/>
      <c r="M552" s="475"/>
      <c r="N552" s="475"/>
      <c r="O552" s="122"/>
      <c r="P552" s="475"/>
      <c r="Q552" s="127"/>
      <c r="R552" s="127"/>
      <c r="S552" s="127"/>
      <c r="T552" s="127"/>
      <c r="U552" s="127"/>
      <c r="V552" s="127"/>
      <c r="W552" s="127"/>
      <c r="X552" s="127"/>
    </row>
    <row r="553" spans="1:24" ht="21.6" customHeight="1">
      <c r="A553" s="189" t="s">
        <v>1356</v>
      </c>
      <c r="B553" s="189" t="s">
        <v>1711</v>
      </c>
      <c r="C553" s="110" t="str">
        <f t="shared" si="99"/>
        <v>노무비통신관련산업기사</v>
      </c>
      <c r="D553" s="99" t="s">
        <v>1357</v>
      </c>
      <c r="E553" s="475">
        <f t="shared" si="100"/>
        <v>304509</v>
      </c>
      <c r="F553" s="122"/>
      <c r="G553" s="475">
        <v>304509</v>
      </c>
      <c r="H553" s="164"/>
      <c r="I553" s="475"/>
      <c r="J553" s="186"/>
      <c r="K553" s="31"/>
      <c r="L553" s="122"/>
      <c r="M553" s="475"/>
      <c r="N553" s="475"/>
      <c r="O553" s="122"/>
      <c r="P553" s="475"/>
      <c r="Q553" s="127"/>
      <c r="R553" s="127"/>
      <c r="S553" s="127"/>
      <c r="T553" s="127"/>
      <c r="U553" s="127"/>
      <c r="V553" s="127"/>
      <c r="W553" s="127"/>
      <c r="X553" s="127"/>
    </row>
    <row r="554" spans="1:24" ht="21.6" customHeight="1">
      <c r="A554" s="189" t="s">
        <v>1356</v>
      </c>
      <c r="B554" s="189" t="s">
        <v>338</v>
      </c>
      <c r="C554" s="110" t="str">
        <f t="shared" si="99"/>
        <v>노무비S/W시험사</v>
      </c>
      <c r="D554" s="99" t="s">
        <v>1357</v>
      </c>
      <c r="E554" s="475">
        <f t="shared" si="100"/>
        <v>446358</v>
      </c>
      <c r="F554" s="122"/>
      <c r="G554" s="475">
        <v>446358</v>
      </c>
      <c r="H554" s="164"/>
      <c r="I554" s="475"/>
      <c r="J554" s="186"/>
      <c r="K554" s="31"/>
      <c r="L554" s="122"/>
      <c r="M554" s="475"/>
      <c r="N554" s="475"/>
      <c r="O554" s="122"/>
      <c r="P554" s="475"/>
      <c r="Q554" s="127"/>
      <c r="R554" s="127"/>
      <c r="S554" s="127"/>
      <c r="T554" s="127"/>
      <c r="U554" s="127"/>
      <c r="V554" s="127"/>
      <c r="W554" s="127"/>
      <c r="X554" s="127"/>
    </row>
    <row r="555" spans="1:24" ht="21.6" customHeight="1">
      <c r="A555" s="189" t="s">
        <v>1356</v>
      </c>
      <c r="B555" s="189" t="s">
        <v>1712</v>
      </c>
      <c r="C555" s="110" t="str">
        <f t="shared" si="99"/>
        <v>노무비H/W시험사</v>
      </c>
      <c r="D555" s="99" t="s">
        <v>1357</v>
      </c>
      <c r="E555" s="475">
        <f>INT(MIN(G555,H555,J555,K555,L555,M555))</f>
        <v>393090</v>
      </c>
      <c r="F555" s="122"/>
      <c r="G555" s="475">
        <v>393090</v>
      </c>
      <c r="H555" s="164"/>
      <c r="I555" s="475"/>
      <c r="J555" s="186"/>
      <c r="K555" s="31"/>
      <c r="L555" s="122"/>
      <c r="M555" s="475"/>
      <c r="N555" s="475"/>
      <c r="O555" s="122"/>
      <c r="P555" s="475"/>
      <c r="Q555" s="127"/>
      <c r="R555" s="127"/>
      <c r="S555" s="127"/>
      <c r="T555" s="127"/>
      <c r="U555" s="127"/>
      <c r="V555" s="127"/>
      <c r="W555" s="127"/>
      <c r="X555" s="127"/>
    </row>
    <row r="556" spans="1:24" ht="21.6" customHeight="1">
      <c r="A556" s="189" t="s">
        <v>1356</v>
      </c>
      <c r="B556" s="189" t="s">
        <v>1713</v>
      </c>
      <c r="C556" s="110" t="str">
        <f t="shared" si="99"/>
        <v>노무비통신외선공</v>
      </c>
      <c r="D556" s="99" t="s">
        <v>1357</v>
      </c>
      <c r="E556" s="475">
        <f t="shared" si="100"/>
        <v>408942</v>
      </c>
      <c r="F556" s="122"/>
      <c r="G556" s="475">
        <v>408942</v>
      </c>
      <c r="H556" s="164"/>
      <c r="I556" s="475"/>
      <c r="J556" s="186"/>
      <c r="K556" s="31"/>
      <c r="L556" s="122"/>
      <c r="M556" s="475"/>
      <c r="N556" s="475"/>
      <c r="O556" s="122"/>
      <c r="P556" s="475"/>
      <c r="Q556" s="127"/>
      <c r="R556" s="127"/>
      <c r="S556" s="127"/>
      <c r="T556" s="127"/>
      <c r="U556" s="127"/>
      <c r="V556" s="127"/>
      <c r="W556" s="127"/>
      <c r="X556" s="127"/>
    </row>
    <row r="557" spans="1:24" ht="21.6" customHeight="1">
      <c r="A557" s="189" t="s">
        <v>1356</v>
      </c>
      <c r="B557" s="189" t="s">
        <v>1714</v>
      </c>
      <c r="C557" s="110" t="str">
        <f t="shared" si="99"/>
        <v>노무비콘크리트공</v>
      </c>
      <c r="D557" s="99" t="s">
        <v>1357</v>
      </c>
      <c r="E557" s="475">
        <f t="shared" si="100"/>
        <v>273540</v>
      </c>
      <c r="F557" s="122"/>
      <c r="G557" s="475">
        <v>273540</v>
      </c>
      <c r="H557" s="164"/>
      <c r="I557" s="475"/>
      <c r="J557" s="186"/>
      <c r="K557" s="31"/>
      <c r="L557" s="122"/>
      <c r="M557" s="475"/>
      <c r="N557" s="475"/>
      <c r="O557" s="122"/>
      <c r="P557" s="475"/>
      <c r="Q557" s="127"/>
      <c r="R557" s="127"/>
      <c r="S557" s="127"/>
      <c r="T557" s="127"/>
      <c r="U557" s="127"/>
      <c r="V557" s="127"/>
      <c r="W557" s="127"/>
      <c r="X557" s="127"/>
    </row>
    <row r="558" spans="1:24" ht="21.6" customHeight="1">
      <c r="A558" s="189" t="s">
        <v>1356</v>
      </c>
      <c r="B558" s="189" t="s">
        <v>1715</v>
      </c>
      <c r="C558" s="110" t="str">
        <f t="shared" si="99"/>
        <v>노무비무선안테나공</v>
      </c>
      <c r="D558" s="99" t="s">
        <v>1357</v>
      </c>
      <c r="E558" s="475">
        <f t="shared" si="100"/>
        <v>356809</v>
      </c>
      <c r="F558" s="122"/>
      <c r="G558" s="475">
        <v>356809</v>
      </c>
      <c r="H558" s="164"/>
      <c r="I558" s="475"/>
      <c r="J558" s="186"/>
      <c r="K558" s="31"/>
      <c r="L558" s="122"/>
      <c r="M558" s="475"/>
      <c r="N558" s="475"/>
      <c r="O558" s="122"/>
      <c r="P558" s="475"/>
      <c r="Q558" s="127"/>
      <c r="R558" s="127"/>
      <c r="S558" s="127"/>
      <c r="T558" s="127"/>
      <c r="U558" s="127"/>
      <c r="V558" s="127"/>
      <c r="W558" s="127"/>
      <c r="X558" s="127"/>
    </row>
    <row r="559" spans="1:24" ht="21.6" customHeight="1">
      <c r="A559" s="189" t="s">
        <v>1356</v>
      </c>
      <c r="B559" s="189" t="s">
        <v>1716</v>
      </c>
      <c r="C559" s="110" t="str">
        <f t="shared" si="99"/>
        <v>노무비형틀목공</v>
      </c>
      <c r="D559" s="99" t="s">
        <v>1357</v>
      </c>
      <c r="E559" s="475">
        <f t="shared" si="100"/>
        <v>275790</v>
      </c>
      <c r="F559" s="122"/>
      <c r="G559" s="475">
        <v>275790</v>
      </c>
      <c r="H559" s="164"/>
      <c r="I559" s="475"/>
      <c r="J559" s="186"/>
      <c r="K559" s="31"/>
      <c r="L559" s="122"/>
      <c r="M559" s="475"/>
      <c r="N559" s="475"/>
      <c r="O559" s="122"/>
      <c r="P559" s="475"/>
      <c r="Q559" s="127"/>
      <c r="R559" s="127"/>
      <c r="S559" s="127"/>
      <c r="T559" s="127"/>
      <c r="U559" s="127"/>
      <c r="V559" s="127"/>
      <c r="W559" s="127"/>
      <c r="X559" s="127"/>
    </row>
    <row r="560" spans="1:24" ht="21.6" customHeight="1">
      <c r="A560" s="189" t="s">
        <v>1356</v>
      </c>
      <c r="B560" s="189" t="s">
        <v>1717</v>
      </c>
      <c r="C560" s="110" t="str">
        <f t="shared" si="99"/>
        <v>노무비배전전공</v>
      </c>
      <c r="D560" s="99" t="s">
        <v>1357</v>
      </c>
      <c r="E560" s="475">
        <f t="shared" si="100"/>
        <v>414968</v>
      </c>
      <c r="F560" s="122"/>
      <c r="G560" s="475">
        <v>414968</v>
      </c>
      <c r="H560" s="164"/>
      <c r="I560" s="475"/>
      <c r="J560" s="186"/>
      <c r="K560" s="31"/>
      <c r="L560" s="122"/>
      <c r="M560" s="475"/>
      <c r="N560" s="475"/>
      <c r="O560" s="122"/>
      <c r="P560" s="475"/>
      <c r="Q560" s="127"/>
      <c r="R560" s="127"/>
      <c r="S560" s="127"/>
      <c r="T560" s="127"/>
      <c r="U560" s="127"/>
      <c r="V560" s="127"/>
      <c r="W560" s="127"/>
      <c r="X560" s="127"/>
    </row>
    <row r="561" spans="1:24" ht="21.6" customHeight="1">
      <c r="A561" s="189" t="s">
        <v>1356</v>
      </c>
      <c r="B561" s="189" t="s">
        <v>1718</v>
      </c>
      <c r="C561" s="110" t="str">
        <f t="shared" si="99"/>
        <v>노무비특고압케이블공</v>
      </c>
      <c r="D561" s="99" t="s">
        <v>1357</v>
      </c>
      <c r="E561" s="475">
        <f t="shared" si="100"/>
        <v>440616</v>
      </c>
      <c r="F561" s="122"/>
      <c r="G561" s="475">
        <v>440616</v>
      </c>
      <c r="H561" s="164"/>
      <c r="I561" s="475"/>
      <c r="J561" s="186"/>
      <c r="K561" s="31"/>
      <c r="L561" s="122"/>
      <c r="M561" s="475"/>
      <c r="N561" s="475"/>
      <c r="O561" s="122"/>
      <c r="P561" s="475"/>
      <c r="Q561" s="127"/>
      <c r="R561" s="127"/>
      <c r="S561" s="127"/>
      <c r="T561" s="127"/>
      <c r="U561" s="127"/>
      <c r="V561" s="127"/>
      <c r="W561" s="127"/>
      <c r="X561" s="127"/>
    </row>
    <row r="562" spans="1:24" ht="21.6" customHeight="1">
      <c r="A562" s="189" t="s">
        <v>1356</v>
      </c>
      <c r="B562" s="189" t="s">
        <v>1475</v>
      </c>
      <c r="C562" s="110" t="str">
        <f t="shared" si="99"/>
        <v>노무비비계공</v>
      </c>
      <c r="D562" s="99" t="s">
        <v>1357</v>
      </c>
      <c r="E562" s="475">
        <f t="shared" si="100"/>
        <v>281939</v>
      </c>
      <c r="F562" s="122"/>
      <c r="G562" s="475">
        <v>281939</v>
      </c>
      <c r="H562" s="164"/>
      <c r="I562" s="475"/>
      <c r="J562" s="186"/>
      <c r="K562" s="31"/>
      <c r="L562" s="122"/>
      <c r="M562" s="475"/>
      <c r="N562" s="475"/>
      <c r="O562" s="122"/>
      <c r="P562" s="475"/>
      <c r="Q562" s="127"/>
      <c r="R562" s="127"/>
      <c r="S562" s="127"/>
      <c r="T562" s="127"/>
      <c r="U562" s="127"/>
      <c r="V562" s="127"/>
      <c r="W562" s="127"/>
      <c r="X562" s="127"/>
    </row>
    <row r="563" spans="1:24" ht="21.6" customHeight="1">
      <c r="A563" s="189" t="s">
        <v>1356</v>
      </c>
      <c r="B563" s="189" t="s">
        <v>1327</v>
      </c>
      <c r="C563" s="110" t="str">
        <f t="shared" si="99"/>
        <v>노무비특별인부</v>
      </c>
      <c r="D563" s="99" t="s">
        <v>1357</v>
      </c>
      <c r="E563" s="475">
        <f t="shared" si="100"/>
        <v>226122</v>
      </c>
      <c r="F563" s="122"/>
      <c r="G563" s="475">
        <v>226122</v>
      </c>
      <c r="H563" s="164"/>
      <c r="I563" s="475"/>
      <c r="J563" s="186"/>
      <c r="K563" s="31"/>
      <c r="L563" s="122"/>
      <c r="M563" s="475"/>
      <c r="N563" s="475"/>
      <c r="O563" s="122"/>
      <c r="P563" s="475"/>
      <c r="Q563" s="127"/>
      <c r="R563" s="127"/>
      <c r="S563" s="127"/>
      <c r="T563" s="127"/>
      <c r="U563" s="127"/>
      <c r="V563" s="127"/>
      <c r="W563" s="127"/>
      <c r="X563" s="127"/>
    </row>
    <row r="564" spans="1:24" ht="21.6" customHeight="1">
      <c r="A564" s="189" t="s">
        <v>1356</v>
      </c>
      <c r="B564" s="189" t="s">
        <v>1719</v>
      </c>
      <c r="C564" s="110" t="str">
        <f t="shared" si="99"/>
        <v>노무비변전전공</v>
      </c>
      <c r="D564" s="99" t="s">
        <v>1357</v>
      </c>
      <c r="E564" s="475">
        <f t="shared" si="100"/>
        <v>485075</v>
      </c>
      <c r="F564" s="122"/>
      <c r="G564" s="475">
        <v>485075</v>
      </c>
      <c r="H564" s="164"/>
      <c r="I564" s="475"/>
      <c r="J564" s="186"/>
      <c r="K564" s="31"/>
      <c r="L564" s="122"/>
      <c r="M564" s="475"/>
      <c r="N564" s="475"/>
      <c r="O564" s="122"/>
      <c r="P564" s="475"/>
      <c r="Q564" s="127"/>
      <c r="R564" s="127"/>
      <c r="S564" s="127"/>
      <c r="T564" s="127"/>
      <c r="U564" s="127"/>
      <c r="V564" s="127"/>
      <c r="W564" s="127"/>
      <c r="X564" s="127"/>
    </row>
    <row r="565" spans="1:24" ht="21.6" customHeight="1">
      <c r="A565" s="189" t="s">
        <v>1356</v>
      </c>
      <c r="B565" s="189" t="s">
        <v>1720</v>
      </c>
      <c r="C565" s="110" t="str">
        <f t="shared" si="99"/>
        <v>노무비포장공</v>
      </c>
      <c r="D565" s="99" t="s">
        <v>1357</v>
      </c>
      <c r="E565" s="475">
        <f t="shared" si="100"/>
        <v>273308</v>
      </c>
      <c r="F565" s="122"/>
      <c r="G565" s="475">
        <v>273308</v>
      </c>
      <c r="H565" s="164"/>
      <c r="I565" s="475"/>
      <c r="J565" s="186"/>
      <c r="K565" s="31"/>
      <c r="L565" s="122"/>
      <c r="M565" s="475"/>
      <c r="N565" s="475"/>
      <c r="O565" s="122"/>
      <c r="P565" s="475"/>
      <c r="Q565" s="127"/>
      <c r="R565" s="127"/>
      <c r="S565" s="127"/>
      <c r="T565" s="127"/>
      <c r="U565" s="127"/>
      <c r="V565" s="127"/>
      <c r="W565" s="127"/>
      <c r="X565" s="127"/>
    </row>
    <row r="566" spans="1:24" ht="21" customHeight="1">
      <c r="A566" s="189" t="s">
        <v>1356</v>
      </c>
      <c r="B566" s="189" t="s">
        <v>1721</v>
      </c>
      <c r="C566" s="110" t="str">
        <f t="shared" si="99"/>
        <v>노무비플랜트전공</v>
      </c>
      <c r="D566" s="99" t="s">
        <v>1357</v>
      </c>
      <c r="E566" s="475">
        <f t="shared" si="100"/>
        <v>269759</v>
      </c>
      <c r="F566" s="122"/>
      <c r="G566" s="475">
        <v>269759</v>
      </c>
      <c r="H566" s="164"/>
      <c r="I566" s="402"/>
      <c r="J566" s="186"/>
      <c r="K566" s="402"/>
      <c r="L566" s="126"/>
      <c r="M566" s="475"/>
      <c r="N566" s="475"/>
      <c r="O566" s="23"/>
      <c r="P566" s="25"/>
      <c r="Q566" s="30"/>
      <c r="R566" s="30"/>
      <c r="S566" s="30"/>
      <c r="T566" s="30"/>
      <c r="U566" s="30"/>
      <c r="V566" s="30"/>
      <c r="W566" s="30"/>
      <c r="X566" s="174"/>
    </row>
    <row r="567" spans="1:24" ht="21" customHeight="1">
      <c r="A567" s="189" t="s">
        <v>1356</v>
      </c>
      <c r="B567" s="189" t="s">
        <v>1722</v>
      </c>
      <c r="C567" s="110" t="str">
        <f t="shared" si="99"/>
        <v>노무비전기공사산업기사</v>
      </c>
      <c r="D567" s="99" t="s">
        <v>1357</v>
      </c>
      <c r="E567" s="475">
        <f t="shared" si="100"/>
        <v>294135</v>
      </c>
      <c r="F567" s="122"/>
      <c r="G567" s="475">
        <v>294135</v>
      </c>
      <c r="H567" s="164"/>
      <c r="I567" s="402"/>
      <c r="J567" s="186"/>
      <c r="K567" s="402"/>
      <c r="L567" s="126"/>
      <c r="M567" s="475"/>
      <c r="N567" s="475"/>
      <c r="O567" s="23"/>
      <c r="P567" s="25"/>
      <c r="Q567" s="30"/>
      <c r="R567" s="30"/>
      <c r="S567" s="30"/>
      <c r="T567" s="30"/>
      <c r="U567" s="30"/>
      <c r="V567" s="30"/>
      <c r="W567" s="30"/>
      <c r="X567" s="174"/>
    </row>
    <row r="568" spans="1:24" ht="21" customHeight="1">
      <c r="A568" s="189" t="s">
        <v>1356</v>
      </c>
      <c r="B568" s="189" t="s">
        <v>1723</v>
      </c>
      <c r="C568" s="110" t="str">
        <f t="shared" si="99"/>
        <v>노무비보링공</v>
      </c>
      <c r="D568" s="99" t="s">
        <v>1357</v>
      </c>
      <c r="E568" s="475">
        <f t="shared" si="100"/>
        <v>232562</v>
      </c>
      <c r="F568" s="122"/>
      <c r="G568" s="475">
        <v>232562</v>
      </c>
      <c r="H568" s="164"/>
      <c r="I568" s="402"/>
      <c r="J568" s="186"/>
      <c r="K568" s="402"/>
      <c r="L568" s="126"/>
      <c r="M568" s="475"/>
      <c r="N568" s="475"/>
      <c r="O568" s="23"/>
      <c r="P568" s="25"/>
      <c r="Q568" s="30"/>
      <c r="R568" s="30"/>
      <c r="S568" s="30"/>
      <c r="T568" s="30"/>
      <c r="U568" s="30"/>
      <c r="V568" s="30"/>
      <c r="W568" s="30"/>
      <c r="X568" s="174"/>
    </row>
    <row r="569" spans="1:24" ht="21" customHeight="1">
      <c r="A569" s="189" t="s">
        <v>1356</v>
      </c>
      <c r="B569" s="189" t="s">
        <v>1724</v>
      </c>
      <c r="C569" s="110" t="str">
        <f t="shared" si="99"/>
        <v>노무비전기공사기사</v>
      </c>
      <c r="D569" s="99" t="s">
        <v>1357</v>
      </c>
      <c r="E569" s="475">
        <f t="shared" si="100"/>
        <v>335319</v>
      </c>
      <c r="F569" s="122"/>
      <c r="G569" s="475">
        <v>335319</v>
      </c>
      <c r="H569" s="164"/>
      <c r="I569" s="402"/>
      <c r="J569" s="186"/>
      <c r="K569" s="402"/>
      <c r="L569" s="126"/>
      <c r="M569" s="475"/>
      <c r="N569" s="475"/>
      <c r="O569" s="23"/>
      <c r="P569" s="25"/>
      <c r="Q569" s="30"/>
      <c r="R569" s="30"/>
      <c r="S569" s="30"/>
      <c r="T569" s="30"/>
      <c r="U569" s="30"/>
      <c r="V569" s="30"/>
      <c r="W569" s="30"/>
      <c r="X569" s="174"/>
    </row>
    <row r="570" spans="1:24" ht="21" customHeight="1">
      <c r="A570" s="189" t="s">
        <v>1356</v>
      </c>
      <c r="B570" s="189" t="s">
        <v>1725</v>
      </c>
      <c r="C570" s="110" t="str">
        <f t="shared" si="99"/>
        <v>노무비철근공</v>
      </c>
      <c r="D570" s="99" t="s">
        <v>1357</v>
      </c>
      <c r="E570" s="475">
        <f t="shared" si="100"/>
        <v>268187</v>
      </c>
      <c r="F570" s="122"/>
      <c r="G570" s="475">
        <v>268187</v>
      </c>
      <c r="H570" s="164"/>
      <c r="I570" s="402"/>
      <c r="J570" s="186"/>
      <c r="K570" s="402"/>
      <c r="L570" s="126"/>
      <c r="M570" s="475"/>
      <c r="N570" s="475"/>
      <c r="O570" s="23"/>
      <c r="P570" s="25"/>
      <c r="Q570" s="30"/>
      <c r="R570" s="30"/>
      <c r="S570" s="30"/>
      <c r="T570" s="30"/>
      <c r="U570" s="30"/>
      <c r="V570" s="30"/>
      <c r="W570" s="30"/>
      <c r="X570" s="174"/>
    </row>
    <row r="571" spans="1:24" ht="21" customHeight="1">
      <c r="A571" s="189" t="s">
        <v>1356</v>
      </c>
      <c r="B571" s="189" t="s">
        <v>1726</v>
      </c>
      <c r="C571" s="110" t="str">
        <f t="shared" si="99"/>
        <v>노무비플랜트기계설치공</v>
      </c>
      <c r="D571" s="99" t="s">
        <v>1357</v>
      </c>
      <c r="E571" s="475">
        <f t="shared" si="100"/>
        <v>230376</v>
      </c>
      <c r="F571" s="122"/>
      <c r="G571" s="475">
        <v>230376</v>
      </c>
      <c r="H571" s="164"/>
      <c r="I571" s="402"/>
      <c r="J571" s="186"/>
      <c r="K571" s="402"/>
      <c r="L571" s="126"/>
      <c r="M571" s="475"/>
      <c r="N571" s="475"/>
      <c r="O571" s="23"/>
      <c r="P571" s="25"/>
      <c r="Q571" s="30"/>
      <c r="R571" s="30"/>
      <c r="S571" s="30"/>
      <c r="T571" s="30"/>
      <c r="U571" s="30"/>
      <c r="V571" s="30"/>
      <c r="W571" s="30"/>
      <c r="X571" s="174"/>
    </row>
    <row r="572" spans="1:24" ht="21" customHeight="1">
      <c r="A572" s="189" t="s">
        <v>1356</v>
      </c>
      <c r="B572" s="189" t="s">
        <v>1476</v>
      </c>
      <c r="C572" s="110" t="str">
        <f t="shared" si="99"/>
        <v>노무비작업반장</v>
      </c>
      <c r="D572" s="99" t="s">
        <v>1357</v>
      </c>
      <c r="E572" s="475">
        <f t="shared" si="100"/>
        <v>215907</v>
      </c>
      <c r="F572" s="122"/>
      <c r="G572" s="475">
        <v>215907</v>
      </c>
      <c r="H572" s="164"/>
      <c r="I572" s="402"/>
      <c r="J572" s="186"/>
      <c r="K572" s="402"/>
      <c r="L572" s="126"/>
      <c r="M572" s="475"/>
      <c r="N572" s="475"/>
      <c r="O572" s="23"/>
      <c r="P572" s="25"/>
      <c r="Q572" s="30"/>
      <c r="R572" s="30"/>
      <c r="S572" s="30"/>
      <c r="T572" s="30"/>
      <c r="U572" s="30"/>
      <c r="V572" s="30"/>
      <c r="W572" s="30"/>
      <c r="X572" s="174"/>
    </row>
    <row r="573" spans="1:24" ht="21" customHeight="1">
      <c r="A573" s="189" t="s">
        <v>1356</v>
      </c>
      <c r="B573" s="189" t="s">
        <v>1477</v>
      </c>
      <c r="C573" s="110" t="str">
        <f t="shared" si="99"/>
        <v>노무비줄눈공</v>
      </c>
      <c r="D573" s="99" t="s">
        <v>1357</v>
      </c>
      <c r="E573" s="475">
        <f t="shared" si="100"/>
        <v>211653</v>
      </c>
      <c r="F573" s="122"/>
      <c r="G573" s="475">
        <v>211653</v>
      </c>
      <c r="H573" s="164"/>
      <c r="I573" s="402"/>
      <c r="J573" s="186"/>
      <c r="K573" s="402"/>
      <c r="L573" s="126"/>
      <c r="M573" s="475"/>
      <c r="N573" s="475"/>
      <c r="O573" s="23"/>
      <c r="P573" s="25"/>
      <c r="Q573" s="30"/>
      <c r="R573" s="30"/>
      <c r="S573" s="30"/>
      <c r="T573" s="30"/>
      <c r="U573" s="30"/>
      <c r="V573" s="30"/>
      <c r="W573" s="30"/>
      <c r="X573" s="174"/>
    </row>
    <row r="574" spans="1:24" ht="21" customHeight="1">
      <c r="A574" s="189" t="s">
        <v>1356</v>
      </c>
      <c r="B574" s="189" t="s">
        <v>1727</v>
      </c>
      <c r="C574" s="110" t="str">
        <f t="shared" si="99"/>
        <v>노무비인력운반공</v>
      </c>
      <c r="D574" s="99" t="s">
        <v>1357</v>
      </c>
      <c r="E574" s="475">
        <f t="shared" si="100"/>
        <v>180193</v>
      </c>
      <c r="F574" s="122"/>
      <c r="G574" s="475">
        <v>180193</v>
      </c>
      <c r="H574" s="164"/>
      <c r="I574" s="402"/>
      <c r="J574" s="186"/>
      <c r="K574" s="402"/>
      <c r="L574" s="126"/>
      <c r="M574" s="475"/>
      <c r="N574" s="475"/>
      <c r="O574" s="23"/>
      <c r="P574" s="25"/>
      <c r="Q574" s="30"/>
      <c r="R574" s="30"/>
      <c r="S574" s="30"/>
      <c r="T574" s="30"/>
      <c r="U574" s="30"/>
      <c r="V574" s="30"/>
      <c r="W574" s="30"/>
      <c r="X574" s="174"/>
    </row>
    <row r="575" spans="1:24" ht="21" customHeight="1">
      <c r="A575" s="189" t="s">
        <v>1356</v>
      </c>
      <c r="B575" s="189" t="s">
        <v>1358</v>
      </c>
      <c r="C575" s="110" t="str">
        <f t="shared" si="99"/>
        <v>노무비작업반장</v>
      </c>
      <c r="D575" s="99" t="s">
        <v>1357</v>
      </c>
      <c r="E575" s="475">
        <f t="shared" si="100"/>
        <v>175081</v>
      </c>
      <c r="F575" s="122"/>
      <c r="G575" s="475">
        <v>175081</v>
      </c>
      <c r="H575" s="164"/>
      <c r="I575" s="402"/>
      <c r="J575" s="186"/>
      <c r="K575" s="402"/>
      <c r="L575" s="126"/>
      <c r="M575" s="475"/>
      <c r="N575" s="475"/>
      <c r="O575" s="23"/>
      <c r="P575" s="25"/>
      <c r="Q575" s="30"/>
      <c r="R575" s="30"/>
      <c r="S575" s="30"/>
      <c r="T575" s="30"/>
      <c r="U575" s="30"/>
      <c r="V575" s="30"/>
      <c r="W575" s="30"/>
      <c r="X575" s="174"/>
    </row>
    <row r="576" spans="1:24" ht="21" customHeight="1">
      <c r="A576" s="189" t="s">
        <v>1356</v>
      </c>
      <c r="B576" s="189" t="s">
        <v>1359</v>
      </c>
      <c r="C576" s="110" t="str">
        <f t="shared" si="99"/>
        <v>노무비줄눈공</v>
      </c>
      <c r="D576" s="99" t="s">
        <v>1357</v>
      </c>
      <c r="E576" s="475">
        <f t="shared" si="100"/>
        <v>156858</v>
      </c>
      <c r="F576" s="122"/>
      <c r="G576" s="475">
        <v>156858</v>
      </c>
      <c r="H576" s="164"/>
      <c r="I576" s="402"/>
      <c r="J576" s="186"/>
      <c r="K576" s="402"/>
      <c r="L576" s="126"/>
      <c r="M576" s="475"/>
      <c r="N576" s="475"/>
      <c r="O576" s="23"/>
      <c r="P576" s="25"/>
      <c r="Q576" s="30"/>
      <c r="R576" s="30"/>
      <c r="S576" s="30"/>
      <c r="T576" s="30"/>
      <c r="U576" s="30"/>
      <c r="V576" s="30"/>
      <c r="W576" s="30"/>
      <c r="X576" s="174"/>
    </row>
    <row r="577" spans="1:24" ht="21" customHeight="1">
      <c r="A577" s="189" t="s">
        <v>1356</v>
      </c>
      <c r="B577" s="189" t="s">
        <v>1360</v>
      </c>
      <c r="C577" s="110" t="str">
        <f t="shared" si="99"/>
        <v>노무비인력운반공</v>
      </c>
      <c r="D577" s="99" t="s">
        <v>1357</v>
      </c>
      <c r="E577" s="475">
        <f t="shared" si="100"/>
        <v>154522</v>
      </c>
      <c r="F577" s="122"/>
      <c r="G577" s="475">
        <v>154522</v>
      </c>
      <c r="H577" s="164"/>
      <c r="I577" s="402"/>
      <c r="J577" s="186"/>
      <c r="K577" s="402"/>
      <c r="L577" s="126"/>
      <c r="M577" s="475"/>
      <c r="N577" s="475"/>
      <c r="O577" s="23"/>
      <c r="P577" s="25"/>
      <c r="Q577" s="30"/>
      <c r="R577" s="30"/>
      <c r="S577" s="30"/>
      <c r="T577" s="30"/>
      <c r="U577" s="30"/>
      <c r="V577" s="30"/>
      <c r="W577" s="30"/>
      <c r="X577" s="174"/>
    </row>
    <row r="578" spans="1:24" ht="21" customHeight="1">
      <c r="A578" s="110"/>
      <c r="B578" s="110"/>
      <c r="C578" s="110"/>
      <c r="D578" s="99"/>
      <c r="E578" s="475"/>
      <c r="F578" s="99"/>
      <c r="G578" s="475"/>
      <c r="H578" s="164"/>
      <c r="I578" s="402"/>
      <c r="J578" s="186"/>
      <c r="K578" s="402"/>
      <c r="L578" s="126"/>
      <c r="M578" s="475"/>
      <c r="N578" s="475"/>
      <c r="O578" s="23"/>
      <c r="P578" s="25"/>
      <c r="Q578" s="30"/>
      <c r="R578" s="30"/>
      <c r="S578" s="30"/>
      <c r="T578" s="30"/>
      <c r="U578" s="30"/>
      <c r="V578" s="30"/>
      <c r="W578" s="30"/>
      <c r="X578" s="174"/>
    </row>
    <row r="579" spans="1:24" ht="21" customHeight="1">
      <c r="A579" s="110"/>
      <c r="B579" s="110"/>
      <c r="C579" s="110"/>
      <c r="D579" s="99"/>
      <c r="E579" s="475"/>
      <c r="F579" s="99"/>
      <c r="G579" s="475"/>
      <c r="H579" s="164"/>
      <c r="I579" s="402"/>
      <c r="J579" s="186"/>
      <c r="K579" s="402"/>
      <c r="L579" s="126"/>
      <c r="M579" s="475"/>
      <c r="N579" s="475"/>
      <c r="O579" s="23"/>
      <c r="P579" s="25"/>
      <c r="Q579" s="30"/>
      <c r="R579" s="30"/>
      <c r="S579" s="30"/>
      <c r="T579" s="30"/>
      <c r="U579" s="30"/>
      <c r="V579" s="30"/>
      <c r="W579" s="30"/>
      <c r="X579" s="174"/>
    </row>
    <row r="580" spans="1:24" ht="21" customHeight="1">
      <c r="A580" s="110"/>
      <c r="B580" s="110"/>
      <c r="C580" s="110"/>
      <c r="D580" s="99"/>
      <c r="E580" s="475"/>
      <c r="F580" s="99"/>
      <c r="G580" s="475"/>
      <c r="H580" s="164"/>
      <c r="I580" s="402"/>
      <c r="J580" s="186"/>
      <c r="K580" s="402"/>
      <c r="L580" s="126"/>
      <c r="M580" s="475"/>
      <c r="N580" s="475"/>
      <c r="O580" s="23"/>
      <c r="P580" s="25"/>
      <c r="Q580" s="30"/>
      <c r="R580" s="30"/>
      <c r="S580" s="30"/>
      <c r="T580" s="30"/>
      <c r="U580" s="30"/>
      <c r="V580" s="30"/>
      <c r="W580" s="30"/>
      <c r="X580" s="174"/>
    </row>
    <row r="581" spans="1:24" ht="21" customHeight="1">
      <c r="A581" s="110"/>
      <c r="B581" s="110"/>
      <c r="C581" s="110"/>
      <c r="D581" s="99"/>
      <c r="E581" s="475"/>
      <c r="F581" s="99"/>
      <c r="G581" s="475"/>
      <c r="H581" s="164"/>
      <c r="I581" s="402"/>
      <c r="J581" s="186"/>
      <c r="K581" s="402"/>
      <c r="L581" s="126"/>
      <c r="M581" s="475"/>
      <c r="N581" s="475"/>
      <c r="O581" s="23"/>
      <c r="P581" s="25"/>
      <c r="Q581" s="30"/>
      <c r="R581" s="30"/>
      <c r="S581" s="30"/>
      <c r="T581" s="30"/>
      <c r="U581" s="30"/>
      <c r="V581" s="30"/>
      <c r="W581" s="30"/>
      <c r="X581" s="174"/>
    </row>
    <row r="582" spans="1:24" ht="21" customHeight="1">
      <c r="A582" s="110"/>
      <c r="B582" s="110"/>
      <c r="C582" s="110"/>
      <c r="D582" s="99"/>
      <c r="E582" s="475"/>
      <c r="F582" s="99"/>
      <c r="G582" s="475"/>
      <c r="H582" s="164"/>
      <c r="I582" s="402"/>
      <c r="J582" s="186"/>
      <c r="K582" s="402"/>
      <c r="L582" s="126"/>
      <c r="M582" s="475"/>
      <c r="N582" s="475"/>
      <c r="O582" s="23"/>
      <c r="P582" s="25"/>
      <c r="Q582" s="30"/>
      <c r="R582" s="30"/>
      <c r="S582" s="30"/>
      <c r="T582" s="30"/>
      <c r="U582" s="30"/>
      <c r="V582" s="30"/>
      <c r="W582" s="30"/>
      <c r="X582" s="174"/>
    </row>
    <row r="583" spans="1:24" ht="21" customHeight="1">
      <c r="A583" s="110"/>
      <c r="B583" s="110"/>
      <c r="C583" s="110"/>
      <c r="D583" s="99"/>
      <c r="E583" s="475"/>
      <c r="F583" s="99"/>
      <c r="G583" s="475"/>
      <c r="H583" s="164"/>
      <c r="I583" s="402"/>
      <c r="J583" s="186"/>
      <c r="K583" s="402"/>
      <c r="L583" s="126"/>
      <c r="M583" s="475"/>
      <c r="N583" s="475"/>
      <c r="O583" s="23"/>
      <c r="P583" s="25"/>
      <c r="Q583" s="30"/>
      <c r="R583" s="30"/>
      <c r="S583" s="30"/>
      <c r="T583" s="30"/>
      <c r="U583" s="30"/>
      <c r="V583" s="30"/>
      <c r="W583" s="30"/>
      <c r="X583" s="174"/>
    </row>
    <row r="584" spans="1:24" ht="21" customHeight="1">
      <c r="A584" s="110"/>
      <c r="B584" s="110"/>
      <c r="C584" s="110"/>
      <c r="D584" s="99"/>
      <c r="E584" s="475"/>
      <c r="F584" s="99"/>
      <c r="G584" s="475"/>
      <c r="H584" s="164"/>
      <c r="I584" s="402"/>
      <c r="J584" s="186"/>
      <c r="K584" s="402"/>
      <c r="L584" s="126"/>
      <c r="M584" s="475"/>
      <c r="N584" s="475"/>
      <c r="O584" s="23"/>
      <c r="P584" s="25"/>
      <c r="Q584" s="30"/>
      <c r="R584" s="30"/>
      <c r="S584" s="30"/>
      <c r="T584" s="30"/>
      <c r="U584" s="30"/>
      <c r="V584" s="30"/>
      <c r="W584" s="30"/>
      <c r="X584" s="174"/>
    </row>
    <row r="585" spans="1:24" ht="21" customHeight="1">
      <c r="A585" s="110"/>
      <c r="B585" s="110"/>
      <c r="C585" s="110"/>
      <c r="D585" s="99"/>
      <c r="E585" s="475"/>
      <c r="F585" s="99"/>
      <c r="G585" s="475"/>
      <c r="H585" s="164"/>
      <c r="I585" s="402"/>
      <c r="J585" s="186"/>
      <c r="K585" s="402"/>
      <c r="L585" s="126"/>
      <c r="M585" s="475"/>
      <c r="N585" s="475"/>
      <c r="O585" s="23"/>
      <c r="P585" s="25"/>
      <c r="Q585" s="30"/>
      <c r="R585" s="30"/>
      <c r="S585" s="30"/>
      <c r="T585" s="30"/>
      <c r="U585" s="30"/>
      <c r="V585" s="30"/>
      <c r="W585" s="30"/>
      <c r="X585" s="174"/>
    </row>
    <row r="586" spans="1:24" ht="21" customHeight="1">
      <c r="A586" s="110"/>
      <c r="B586" s="110"/>
      <c r="C586" s="110"/>
      <c r="D586" s="99"/>
      <c r="E586" s="475"/>
      <c r="F586" s="99"/>
      <c r="G586" s="475"/>
      <c r="H586" s="164"/>
      <c r="I586" s="402"/>
      <c r="J586" s="186"/>
      <c r="K586" s="402"/>
      <c r="L586" s="126"/>
      <c r="M586" s="475"/>
      <c r="N586" s="475"/>
      <c r="O586" s="23"/>
      <c r="P586" s="25"/>
      <c r="Q586" s="30"/>
      <c r="R586" s="30"/>
      <c r="S586" s="30"/>
      <c r="T586" s="30"/>
      <c r="U586" s="30"/>
      <c r="V586" s="30"/>
      <c r="W586" s="30"/>
      <c r="X586" s="174"/>
    </row>
    <row r="587" spans="1:24" ht="21" customHeight="1">
      <c r="A587" s="110"/>
      <c r="B587" s="110"/>
      <c r="C587" s="110"/>
      <c r="D587" s="99"/>
      <c r="E587" s="475"/>
      <c r="F587" s="99"/>
      <c r="G587" s="475"/>
      <c r="H587" s="164"/>
      <c r="I587" s="402"/>
      <c r="J587" s="186"/>
      <c r="K587" s="402"/>
      <c r="L587" s="126"/>
      <c r="M587" s="475"/>
      <c r="N587" s="475"/>
      <c r="O587" s="23"/>
      <c r="P587" s="25"/>
      <c r="Q587" s="30"/>
      <c r="R587" s="30"/>
      <c r="S587" s="30"/>
      <c r="T587" s="30"/>
      <c r="U587" s="30"/>
      <c r="V587" s="30"/>
      <c r="W587" s="30"/>
      <c r="X587" s="174"/>
    </row>
    <row r="588" spans="1:24" ht="21" customHeight="1">
      <c r="A588" s="110"/>
      <c r="B588" s="110"/>
      <c r="C588" s="110"/>
      <c r="D588" s="99"/>
      <c r="E588" s="475"/>
      <c r="F588" s="99"/>
      <c r="G588" s="475"/>
      <c r="H588" s="164"/>
      <c r="I588" s="402"/>
      <c r="J588" s="186"/>
      <c r="K588" s="402"/>
      <c r="L588" s="126"/>
      <c r="M588" s="475"/>
      <c r="N588" s="475"/>
      <c r="O588" s="23"/>
      <c r="P588" s="25"/>
      <c r="Q588" s="30"/>
      <c r="R588" s="30"/>
      <c r="S588" s="30"/>
      <c r="T588" s="30"/>
      <c r="U588" s="30"/>
      <c r="V588" s="30"/>
      <c r="W588" s="30"/>
      <c r="X588" s="174"/>
    </row>
    <row r="589" spans="1:24" ht="21" customHeight="1">
      <c r="A589" s="110"/>
      <c r="B589" s="110"/>
      <c r="C589" s="110"/>
      <c r="D589" s="99"/>
      <c r="E589" s="475"/>
      <c r="F589" s="99"/>
      <c r="G589" s="475"/>
      <c r="H589" s="164"/>
      <c r="I589" s="402"/>
      <c r="J589" s="186"/>
      <c r="K589" s="402"/>
      <c r="L589" s="126"/>
      <c r="M589" s="475"/>
      <c r="N589" s="475"/>
      <c r="O589" s="23"/>
      <c r="P589" s="25"/>
      <c r="Q589" s="30"/>
      <c r="R589" s="30"/>
      <c r="S589" s="30"/>
      <c r="T589" s="30"/>
      <c r="U589" s="30"/>
      <c r="V589" s="30"/>
      <c r="W589" s="30"/>
      <c r="X589" s="174"/>
    </row>
    <row r="590" spans="1:24" ht="21" customHeight="1">
      <c r="A590" s="110"/>
      <c r="B590" s="110"/>
      <c r="C590" s="110"/>
      <c r="D590" s="99"/>
      <c r="E590" s="475"/>
      <c r="F590" s="99"/>
      <c r="G590" s="475"/>
      <c r="H590" s="164"/>
      <c r="I590" s="402"/>
      <c r="J590" s="186"/>
      <c r="K590" s="402"/>
      <c r="L590" s="126"/>
      <c r="M590" s="475"/>
      <c r="N590" s="475"/>
      <c r="O590" s="23"/>
      <c r="P590" s="25"/>
      <c r="Q590" s="30"/>
      <c r="R590" s="30"/>
      <c r="S590" s="30"/>
      <c r="T590" s="30"/>
      <c r="U590" s="30"/>
      <c r="V590" s="30"/>
      <c r="W590" s="30"/>
      <c r="X590" s="174"/>
    </row>
    <row r="591" spans="1:24" ht="21" customHeight="1">
      <c r="A591" s="127"/>
      <c r="B591" s="127"/>
      <c r="C591" s="127"/>
      <c r="D591" s="131"/>
      <c r="E591" s="32"/>
      <c r="F591" s="131"/>
      <c r="G591" s="33"/>
      <c r="H591" s="190"/>
      <c r="I591" s="32"/>
      <c r="J591" s="187"/>
      <c r="K591" s="32"/>
      <c r="L591" s="32"/>
      <c r="M591" s="34"/>
      <c r="N591" s="34"/>
      <c r="O591" s="34"/>
      <c r="P591" s="127"/>
      <c r="Q591" s="127"/>
      <c r="R591" s="127"/>
      <c r="S591" s="127"/>
      <c r="T591" s="127"/>
      <c r="U591" s="127"/>
      <c r="V591" s="127"/>
      <c r="W591" s="127"/>
      <c r="X591" s="127"/>
    </row>
    <row r="592" spans="1:24" ht="21" customHeight="1">
      <c r="A592" s="127"/>
      <c r="B592" s="127"/>
      <c r="C592" s="127"/>
      <c r="D592" s="131"/>
      <c r="E592" s="32"/>
      <c r="F592" s="131"/>
      <c r="G592" s="33"/>
      <c r="H592" s="190"/>
      <c r="I592" s="32"/>
      <c r="J592" s="187"/>
      <c r="K592" s="32"/>
      <c r="L592" s="32"/>
      <c r="M592" s="34"/>
      <c r="N592" s="34"/>
      <c r="O592" s="34"/>
      <c r="P592" s="127"/>
      <c r="Q592" s="127"/>
      <c r="R592" s="127"/>
      <c r="S592" s="127"/>
      <c r="T592" s="127"/>
      <c r="U592" s="127"/>
      <c r="V592" s="127"/>
      <c r="W592" s="127"/>
      <c r="X592" s="127"/>
    </row>
    <row r="593" spans="1:24" ht="21" customHeight="1">
      <c r="A593" s="127"/>
      <c r="B593" s="127"/>
      <c r="C593" s="127"/>
      <c r="D593" s="131"/>
      <c r="E593" s="32"/>
      <c r="F593" s="131"/>
      <c r="G593" s="33"/>
      <c r="H593" s="190"/>
      <c r="I593" s="32"/>
      <c r="J593" s="187"/>
      <c r="K593" s="32"/>
      <c r="L593" s="32"/>
      <c r="M593" s="34"/>
      <c r="N593" s="34"/>
      <c r="O593" s="34"/>
      <c r="P593" s="127"/>
      <c r="Q593" s="127"/>
      <c r="R593" s="127"/>
      <c r="S593" s="127"/>
      <c r="T593" s="127"/>
      <c r="U593" s="127"/>
      <c r="V593" s="127"/>
      <c r="W593" s="127"/>
      <c r="X593" s="127"/>
    </row>
    <row r="594" spans="1:24" ht="21" customHeight="1">
      <c r="A594" s="127"/>
      <c r="B594" s="127"/>
      <c r="C594" s="127"/>
      <c r="D594" s="131"/>
      <c r="E594" s="32"/>
      <c r="F594" s="131"/>
      <c r="G594" s="33"/>
      <c r="H594" s="190"/>
      <c r="I594" s="32"/>
      <c r="J594" s="187"/>
      <c r="K594" s="32"/>
      <c r="L594" s="32"/>
      <c r="M594" s="34"/>
      <c r="N594" s="34"/>
      <c r="O594" s="34"/>
      <c r="P594" s="127"/>
      <c r="Q594" s="127"/>
      <c r="R594" s="127"/>
      <c r="S594" s="127"/>
      <c r="T594" s="127"/>
      <c r="U594" s="127"/>
      <c r="V594" s="127"/>
      <c r="W594" s="127"/>
      <c r="X594" s="127"/>
    </row>
    <row r="595" spans="1:24" ht="21" customHeight="1">
      <c r="A595" s="127"/>
      <c r="B595" s="127"/>
      <c r="C595" s="127"/>
      <c r="D595" s="131"/>
      <c r="E595" s="32"/>
      <c r="F595" s="131"/>
      <c r="G595" s="33"/>
      <c r="H595" s="190"/>
      <c r="I595" s="32"/>
      <c r="J595" s="187"/>
      <c r="K595" s="32"/>
      <c r="L595" s="32"/>
      <c r="M595" s="34"/>
      <c r="N595" s="34"/>
      <c r="O595" s="34"/>
      <c r="P595" s="127"/>
      <c r="Q595" s="127"/>
      <c r="R595" s="127"/>
      <c r="S595" s="127"/>
      <c r="T595" s="127"/>
      <c r="U595" s="127"/>
      <c r="V595" s="127"/>
      <c r="W595" s="127"/>
      <c r="X595" s="127"/>
    </row>
    <row r="596" spans="1:24" ht="21" customHeight="1">
      <c r="A596" s="127"/>
      <c r="B596" s="127"/>
      <c r="C596" s="127"/>
      <c r="D596" s="131"/>
      <c r="E596" s="32"/>
      <c r="F596" s="131"/>
      <c r="G596" s="33"/>
      <c r="H596" s="190"/>
      <c r="I596" s="32"/>
      <c r="J596" s="187"/>
      <c r="K596" s="32"/>
      <c r="L596" s="32"/>
      <c r="M596" s="34"/>
      <c r="N596" s="34"/>
      <c r="O596" s="34"/>
      <c r="P596" s="127"/>
      <c r="Q596" s="127"/>
      <c r="R596" s="127"/>
      <c r="S596" s="127"/>
      <c r="T596" s="127"/>
      <c r="U596" s="127"/>
      <c r="V596" s="127"/>
      <c r="W596" s="127"/>
      <c r="X596" s="127"/>
    </row>
    <row r="597" spans="1:24" ht="21" customHeight="1">
      <c r="A597" s="127"/>
      <c r="B597" s="127"/>
      <c r="C597" s="127"/>
      <c r="D597" s="131"/>
      <c r="E597" s="32"/>
      <c r="F597" s="131"/>
      <c r="G597" s="33"/>
      <c r="H597" s="190"/>
      <c r="I597" s="32"/>
      <c r="J597" s="187"/>
      <c r="K597" s="32"/>
      <c r="L597" s="32"/>
      <c r="M597" s="34"/>
      <c r="N597" s="34"/>
      <c r="O597" s="34"/>
      <c r="P597" s="127"/>
      <c r="Q597" s="127"/>
      <c r="R597" s="127"/>
      <c r="S597" s="127"/>
      <c r="T597" s="127"/>
      <c r="U597" s="127"/>
      <c r="V597" s="127"/>
      <c r="W597" s="127"/>
      <c r="X597" s="127"/>
    </row>
    <row r="598" spans="1:24" ht="21" customHeight="1">
      <c r="A598" s="127"/>
      <c r="B598" s="127"/>
      <c r="C598" s="127"/>
      <c r="D598" s="131"/>
      <c r="E598" s="32"/>
      <c r="F598" s="131"/>
      <c r="G598" s="33"/>
      <c r="H598" s="190"/>
      <c r="I598" s="32"/>
      <c r="J598" s="187"/>
      <c r="K598" s="32"/>
      <c r="L598" s="32"/>
      <c r="M598" s="34"/>
      <c r="N598" s="34"/>
      <c r="O598" s="34"/>
      <c r="P598" s="127"/>
      <c r="Q598" s="127"/>
      <c r="R598" s="127"/>
      <c r="S598" s="127"/>
      <c r="T598" s="127"/>
      <c r="U598" s="127"/>
      <c r="V598" s="127"/>
      <c r="W598" s="127"/>
      <c r="X598" s="127"/>
    </row>
    <row r="599" spans="1:24" ht="21" customHeight="1">
      <c r="A599" s="127"/>
      <c r="B599" s="127"/>
      <c r="C599" s="127"/>
      <c r="D599" s="131"/>
      <c r="E599" s="32"/>
      <c r="F599" s="131"/>
      <c r="G599" s="33"/>
      <c r="H599" s="190"/>
      <c r="I599" s="32"/>
      <c r="J599" s="187"/>
      <c r="K599" s="32"/>
      <c r="L599" s="32"/>
      <c r="M599" s="34"/>
      <c r="N599" s="34"/>
      <c r="O599" s="34"/>
      <c r="P599" s="127"/>
      <c r="Q599" s="127"/>
      <c r="R599" s="127"/>
      <c r="S599" s="127"/>
      <c r="T599" s="127"/>
      <c r="U599" s="127"/>
      <c r="V599" s="127"/>
      <c r="W599" s="127"/>
      <c r="X599" s="127"/>
    </row>
    <row r="600" spans="1:24" ht="21" customHeight="1">
      <c r="A600" s="127"/>
      <c r="B600" s="127"/>
      <c r="C600" s="127"/>
      <c r="D600" s="131"/>
      <c r="E600" s="32"/>
      <c r="F600" s="131"/>
      <c r="G600" s="33"/>
      <c r="H600" s="190"/>
      <c r="I600" s="32"/>
      <c r="J600" s="187"/>
      <c r="K600" s="32"/>
      <c r="L600" s="32"/>
      <c r="M600" s="34"/>
      <c r="N600" s="34"/>
      <c r="O600" s="34"/>
      <c r="P600" s="127"/>
      <c r="Q600" s="127"/>
      <c r="R600" s="127"/>
      <c r="S600" s="127"/>
      <c r="T600" s="127"/>
      <c r="U600" s="127"/>
      <c r="V600" s="127"/>
      <c r="W600" s="127"/>
      <c r="X600" s="127"/>
    </row>
    <row r="601" spans="1:24" ht="21" customHeight="1">
      <c r="A601" s="127"/>
      <c r="B601" s="127"/>
      <c r="C601" s="127"/>
      <c r="D601" s="131"/>
      <c r="E601" s="32"/>
      <c r="F601" s="131"/>
      <c r="G601" s="33"/>
      <c r="H601" s="190"/>
      <c r="I601" s="32"/>
      <c r="J601" s="187"/>
      <c r="K601" s="32"/>
      <c r="L601" s="32"/>
      <c r="M601" s="34"/>
      <c r="N601" s="34"/>
      <c r="O601" s="34"/>
      <c r="P601" s="127"/>
      <c r="Q601" s="127"/>
      <c r="R601" s="127"/>
      <c r="S601" s="127"/>
      <c r="T601" s="127"/>
      <c r="U601" s="127"/>
      <c r="V601" s="127"/>
      <c r="W601" s="127"/>
      <c r="X601" s="127"/>
    </row>
    <row r="602" spans="1:24" ht="21" customHeight="1">
      <c r="A602" s="127"/>
      <c r="B602" s="127"/>
      <c r="C602" s="127"/>
      <c r="D602" s="131"/>
      <c r="E602" s="32"/>
      <c r="F602" s="131"/>
      <c r="G602" s="33"/>
      <c r="H602" s="190"/>
      <c r="I602" s="32"/>
      <c r="J602" s="187"/>
      <c r="K602" s="32"/>
      <c r="L602" s="32"/>
      <c r="M602" s="34"/>
      <c r="N602" s="34"/>
      <c r="O602" s="34"/>
      <c r="P602" s="127"/>
      <c r="Q602" s="127"/>
      <c r="R602" s="127"/>
      <c r="S602" s="127"/>
      <c r="T602" s="127"/>
      <c r="U602" s="127"/>
      <c r="V602" s="127"/>
      <c r="W602" s="127"/>
      <c r="X602" s="127"/>
    </row>
    <row r="603" spans="1:24" ht="21" customHeight="1">
      <c r="A603" s="127"/>
      <c r="B603" s="127"/>
      <c r="C603" s="127"/>
      <c r="D603" s="131"/>
      <c r="E603" s="32"/>
      <c r="F603" s="131"/>
      <c r="G603" s="33"/>
      <c r="H603" s="190"/>
      <c r="I603" s="32"/>
      <c r="J603" s="187"/>
      <c r="K603" s="32"/>
      <c r="L603" s="32"/>
      <c r="M603" s="34"/>
      <c r="N603" s="34"/>
      <c r="O603" s="34"/>
      <c r="P603" s="127"/>
      <c r="Q603" s="127"/>
      <c r="R603" s="127"/>
      <c r="S603" s="127"/>
      <c r="T603" s="127"/>
      <c r="U603" s="127"/>
      <c r="V603" s="127"/>
      <c r="W603" s="127"/>
      <c r="X603" s="127"/>
    </row>
    <row r="604" spans="1:24" ht="21" customHeight="1">
      <c r="A604" s="127"/>
      <c r="B604" s="127"/>
      <c r="C604" s="127"/>
      <c r="D604" s="131"/>
      <c r="E604" s="32"/>
      <c r="F604" s="131"/>
      <c r="G604" s="33"/>
      <c r="H604" s="190"/>
      <c r="I604" s="32"/>
      <c r="J604" s="187"/>
      <c r="K604" s="32"/>
      <c r="L604" s="32"/>
      <c r="M604" s="34"/>
      <c r="N604" s="34"/>
      <c r="O604" s="34"/>
      <c r="P604" s="127"/>
      <c r="Q604" s="127"/>
      <c r="R604" s="127"/>
      <c r="S604" s="127"/>
      <c r="T604" s="127"/>
      <c r="U604" s="127"/>
      <c r="V604" s="127"/>
      <c r="W604" s="127"/>
      <c r="X604" s="127"/>
    </row>
    <row r="605" spans="1:24" ht="21" customHeight="1">
      <c r="A605" s="127"/>
      <c r="B605" s="127"/>
      <c r="C605" s="127"/>
      <c r="D605" s="131"/>
      <c r="E605" s="32"/>
      <c r="F605" s="131"/>
      <c r="G605" s="33"/>
      <c r="H605" s="190"/>
      <c r="I605" s="32"/>
      <c r="J605" s="187"/>
      <c r="K605" s="32"/>
      <c r="L605" s="32"/>
      <c r="M605" s="34"/>
      <c r="N605" s="34"/>
      <c r="O605" s="34"/>
      <c r="P605" s="127"/>
      <c r="Q605" s="127"/>
      <c r="R605" s="127"/>
      <c r="S605" s="127"/>
      <c r="T605" s="127"/>
      <c r="U605" s="127"/>
      <c r="V605" s="127"/>
      <c r="W605" s="127"/>
      <c r="X605" s="127"/>
    </row>
    <row r="606" spans="1:24" ht="21" customHeight="1">
      <c r="A606" s="127"/>
      <c r="B606" s="127"/>
      <c r="C606" s="127"/>
      <c r="D606" s="131"/>
      <c r="E606" s="32"/>
      <c r="F606" s="131"/>
      <c r="G606" s="33"/>
      <c r="H606" s="190"/>
      <c r="I606" s="32"/>
      <c r="J606" s="187"/>
      <c r="K606" s="32"/>
      <c r="L606" s="32"/>
      <c r="M606" s="34"/>
      <c r="N606" s="34"/>
      <c r="O606" s="34"/>
      <c r="P606" s="127"/>
      <c r="Q606" s="127"/>
      <c r="R606" s="127"/>
      <c r="S606" s="127"/>
      <c r="T606" s="127"/>
      <c r="U606" s="127"/>
      <c r="V606" s="127"/>
      <c r="W606" s="127"/>
      <c r="X606" s="127"/>
    </row>
    <row r="607" spans="1:24" ht="21" customHeight="1">
      <c r="A607" s="127"/>
      <c r="B607" s="127"/>
      <c r="C607" s="127"/>
      <c r="D607" s="131"/>
      <c r="E607" s="32"/>
      <c r="F607" s="131"/>
      <c r="G607" s="33"/>
      <c r="H607" s="190"/>
      <c r="I607" s="32"/>
      <c r="J607" s="187"/>
      <c r="K607" s="32"/>
      <c r="L607" s="32"/>
      <c r="M607" s="34"/>
      <c r="N607" s="34"/>
      <c r="O607" s="34"/>
      <c r="P607" s="127"/>
      <c r="Q607" s="127"/>
      <c r="R607" s="127"/>
      <c r="S607" s="127"/>
      <c r="T607" s="127"/>
      <c r="U607" s="127"/>
      <c r="V607" s="127"/>
      <c r="W607" s="127"/>
      <c r="X607" s="127"/>
    </row>
    <row r="608" spans="1:24" ht="21" customHeight="1">
      <c r="A608" s="127"/>
      <c r="B608" s="127"/>
      <c r="C608" s="127"/>
      <c r="D608" s="131"/>
      <c r="E608" s="32"/>
      <c r="F608" s="131"/>
      <c r="G608" s="33"/>
      <c r="H608" s="190"/>
      <c r="I608" s="32"/>
      <c r="J608" s="187"/>
      <c r="K608" s="32"/>
      <c r="L608" s="32"/>
      <c r="M608" s="34"/>
      <c r="N608" s="34"/>
      <c r="O608" s="34"/>
      <c r="P608" s="127"/>
      <c r="Q608" s="127"/>
      <c r="R608" s="127"/>
      <c r="S608" s="127"/>
      <c r="T608" s="127"/>
      <c r="U608" s="127"/>
      <c r="V608" s="127"/>
      <c r="W608" s="127"/>
      <c r="X608" s="127"/>
    </row>
    <row r="609" spans="1:24" ht="21" customHeight="1">
      <c r="A609" s="127"/>
      <c r="B609" s="127"/>
      <c r="C609" s="127"/>
      <c r="D609" s="131"/>
      <c r="E609" s="32"/>
      <c r="F609" s="131"/>
      <c r="G609" s="33"/>
      <c r="H609" s="190"/>
      <c r="I609" s="32"/>
      <c r="J609" s="187"/>
      <c r="K609" s="32"/>
      <c r="L609" s="32"/>
      <c r="M609" s="34"/>
      <c r="N609" s="34"/>
      <c r="O609" s="34"/>
      <c r="P609" s="127"/>
      <c r="Q609" s="127"/>
      <c r="R609" s="127"/>
      <c r="S609" s="127"/>
      <c r="T609" s="127"/>
      <c r="U609" s="127"/>
      <c r="V609" s="127"/>
      <c r="W609" s="127"/>
      <c r="X609" s="127"/>
    </row>
    <row r="610" spans="1:24" ht="21" customHeight="1">
      <c r="A610" s="127"/>
      <c r="B610" s="127"/>
      <c r="C610" s="127"/>
      <c r="D610" s="131"/>
      <c r="E610" s="32"/>
      <c r="F610" s="131"/>
      <c r="G610" s="33"/>
      <c r="H610" s="190"/>
      <c r="I610" s="32"/>
      <c r="J610" s="187"/>
      <c r="K610" s="32"/>
      <c r="L610" s="32"/>
      <c r="M610" s="34"/>
      <c r="N610" s="34"/>
      <c r="O610" s="34"/>
      <c r="P610" s="127"/>
      <c r="Q610" s="127"/>
      <c r="R610" s="127"/>
      <c r="S610" s="127"/>
      <c r="T610" s="127"/>
      <c r="U610" s="127"/>
      <c r="V610" s="127"/>
      <c r="W610" s="127"/>
      <c r="X610" s="127"/>
    </row>
    <row r="611" spans="1:24" ht="21" customHeight="1">
      <c r="A611" s="127"/>
      <c r="B611" s="127"/>
      <c r="C611" s="127"/>
      <c r="D611" s="131"/>
      <c r="E611" s="32"/>
      <c r="F611" s="131"/>
      <c r="G611" s="33"/>
      <c r="H611" s="190"/>
      <c r="I611" s="32"/>
      <c r="J611" s="187"/>
      <c r="K611" s="32"/>
      <c r="L611" s="32"/>
      <c r="M611" s="34"/>
      <c r="N611" s="34"/>
      <c r="O611" s="34"/>
      <c r="P611" s="127"/>
      <c r="Q611" s="127"/>
      <c r="R611" s="127"/>
      <c r="S611" s="127"/>
      <c r="T611" s="127"/>
      <c r="U611" s="127"/>
      <c r="V611" s="127"/>
      <c r="W611" s="127"/>
      <c r="X611" s="127"/>
    </row>
    <row r="612" spans="1:24" ht="21" customHeight="1">
      <c r="A612" s="127"/>
      <c r="B612" s="127"/>
      <c r="C612" s="127"/>
      <c r="D612" s="131"/>
      <c r="E612" s="32"/>
      <c r="F612" s="131"/>
      <c r="G612" s="33"/>
      <c r="H612" s="190"/>
      <c r="I612" s="32"/>
      <c r="J612" s="187"/>
      <c r="K612" s="32"/>
      <c r="L612" s="32"/>
      <c r="M612" s="34"/>
      <c r="N612" s="34"/>
      <c r="O612" s="34"/>
      <c r="P612" s="127"/>
      <c r="Q612" s="127"/>
      <c r="R612" s="127"/>
      <c r="S612" s="127"/>
      <c r="T612" s="127"/>
      <c r="U612" s="127"/>
      <c r="V612" s="127"/>
      <c r="W612" s="127"/>
      <c r="X612" s="127"/>
    </row>
    <row r="613" spans="1:24" ht="21" customHeight="1">
      <c r="A613" s="127"/>
      <c r="B613" s="127"/>
      <c r="C613" s="127"/>
      <c r="D613" s="131"/>
      <c r="E613" s="32"/>
      <c r="F613" s="131"/>
      <c r="G613" s="33"/>
      <c r="H613" s="190"/>
      <c r="I613" s="32"/>
      <c r="J613" s="187"/>
      <c r="K613" s="32"/>
      <c r="L613" s="32"/>
      <c r="M613" s="34"/>
      <c r="N613" s="34"/>
      <c r="O613" s="34"/>
      <c r="P613" s="127"/>
      <c r="Q613" s="127"/>
      <c r="R613" s="127"/>
      <c r="S613" s="127"/>
      <c r="T613" s="127"/>
      <c r="U613" s="127"/>
      <c r="V613" s="127"/>
      <c r="W613" s="127"/>
      <c r="X613" s="127"/>
    </row>
    <row r="614" spans="1:24" ht="21" customHeight="1">
      <c r="A614" s="127"/>
      <c r="B614" s="127"/>
      <c r="C614" s="127"/>
      <c r="D614" s="131"/>
      <c r="E614" s="32"/>
      <c r="F614" s="131"/>
      <c r="G614" s="33"/>
      <c r="H614" s="190"/>
      <c r="I614" s="32"/>
      <c r="J614" s="187"/>
      <c r="K614" s="32"/>
      <c r="L614" s="32"/>
      <c r="M614" s="34"/>
      <c r="N614" s="34"/>
      <c r="O614" s="34"/>
      <c r="P614" s="127"/>
      <c r="Q614" s="127"/>
      <c r="R614" s="127"/>
      <c r="S614" s="127"/>
      <c r="T614" s="127"/>
      <c r="U614" s="127"/>
      <c r="V614" s="127"/>
      <c r="W614" s="127"/>
      <c r="X614" s="127"/>
    </row>
    <row r="615" spans="1:24" ht="21" customHeight="1">
      <c r="A615" s="127"/>
      <c r="B615" s="127"/>
      <c r="C615" s="127"/>
      <c r="D615" s="131"/>
      <c r="E615" s="32"/>
      <c r="F615" s="131"/>
      <c r="G615" s="33"/>
      <c r="H615" s="190"/>
      <c r="I615" s="32"/>
      <c r="J615" s="187"/>
      <c r="K615" s="32"/>
      <c r="L615" s="32"/>
      <c r="M615" s="34"/>
      <c r="N615" s="34"/>
      <c r="O615" s="34"/>
      <c r="P615" s="127"/>
      <c r="Q615" s="127"/>
      <c r="R615" s="127"/>
      <c r="S615" s="127"/>
      <c r="T615" s="127"/>
      <c r="U615" s="127"/>
      <c r="V615" s="127"/>
      <c r="W615" s="127"/>
      <c r="X615" s="127"/>
    </row>
    <row r="616" spans="1:24" ht="21" customHeight="1">
      <c r="A616" s="127"/>
      <c r="B616" s="127"/>
      <c r="C616" s="127"/>
      <c r="D616" s="131"/>
      <c r="E616" s="32"/>
      <c r="F616" s="131"/>
      <c r="G616" s="33"/>
      <c r="H616" s="190"/>
      <c r="I616" s="32"/>
      <c r="J616" s="187"/>
      <c r="K616" s="32"/>
      <c r="L616" s="32"/>
      <c r="M616" s="34"/>
      <c r="N616" s="34"/>
      <c r="O616" s="34"/>
      <c r="P616" s="127"/>
      <c r="Q616" s="127"/>
      <c r="R616" s="127"/>
      <c r="S616" s="127"/>
      <c r="T616" s="127"/>
      <c r="U616" s="127"/>
      <c r="V616" s="127"/>
      <c r="W616" s="127"/>
      <c r="X616" s="127"/>
    </row>
    <row r="617" spans="1:24" ht="21" customHeight="1">
      <c r="A617" s="127"/>
      <c r="B617" s="127"/>
      <c r="C617" s="127"/>
      <c r="D617" s="131"/>
      <c r="E617" s="32"/>
      <c r="F617" s="131"/>
      <c r="G617" s="33"/>
      <c r="H617" s="190"/>
      <c r="I617" s="32"/>
      <c r="J617" s="187"/>
      <c r="K617" s="32"/>
      <c r="L617" s="32"/>
      <c r="M617" s="34"/>
      <c r="N617" s="34"/>
      <c r="O617" s="34"/>
      <c r="P617" s="127"/>
      <c r="Q617" s="127"/>
      <c r="R617" s="127"/>
      <c r="S617" s="127"/>
      <c r="T617" s="127"/>
      <c r="U617" s="127"/>
      <c r="V617" s="127"/>
      <c r="W617" s="127"/>
      <c r="X617" s="127"/>
    </row>
    <row r="618" spans="1:24" ht="21" customHeight="1">
      <c r="A618" s="127"/>
      <c r="B618" s="127"/>
      <c r="C618" s="127"/>
      <c r="D618" s="131"/>
      <c r="E618" s="32"/>
      <c r="F618" s="131"/>
      <c r="G618" s="33"/>
      <c r="H618" s="190"/>
      <c r="I618" s="32"/>
      <c r="J618" s="187"/>
      <c r="K618" s="32"/>
      <c r="L618" s="32"/>
      <c r="M618" s="34"/>
      <c r="N618" s="34"/>
      <c r="O618" s="34"/>
      <c r="P618" s="127"/>
      <c r="Q618" s="127"/>
      <c r="R618" s="127"/>
      <c r="S618" s="127"/>
      <c r="T618" s="127"/>
      <c r="U618" s="127"/>
      <c r="V618" s="127"/>
      <c r="W618" s="127"/>
      <c r="X618" s="127"/>
    </row>
    <row r="619" spans="1:24" ht="21" customHeight="1">
      <c r="A619" s="127"/>
      <c r="B619" s="127"/>
      <c r="C619" s="127"/>
      <c r="D619" s="131"/>
      <c r="E619" s="32"/>
      <c r="F619" s="131"/>
      <c r="G619" s="33"/>
      <c r="H619" s="190"/>
      <c r="I619" s="32"/>
      <c r="J619" s="187"/>
      <c r="K619" s="32"/>
      <c r="L619" s="32"/>
      <c r="M619" s="34"/>
      <c r="N619" s="34"/>
      <c r="O619" s="34"/>
      <c r="P619" s="127"/>
      <c r="Q619" s="127"/>
      <c r="R619" s="127"/>
      <c r="S619" s="127"/>
      <c r="T619" s="127"/>
      <c r="U619" s="127"/>
      <c r="V619" s="127"/>
      <c r="W619" s="127"/>
      <c r="X619" s="127"/>
    </row>
    <row r="620" spans="1:24" ht="21" customHeight="1">
      <c r="A620" s="127"/>
      <c r="B620" s="127"/>
      <c r="C620" s="127"/>
      <c r="D620" s="131"/>
      <c r="E620" s="32"/>
      <c r="F620" s="131"/>
      <c r="G620" s="33"/>
      <c r="H620" s="190"/>
      <c r="I620" s="32"/>
      <c r="J620" s="187"/>
      <c r="K620" s="32"/>
      <c r="L620" s="32"/>
      <c r="M620" s="34"/>
      <c r="N620" s="34"/>
      <c r="O620" s="34"/>
      <c r="P620" s="127"/>
      <c r="Q620" s="127"/>
      <c r="R620" s="127"/>
      <c r="S620" s="127"/>
      <c r="T620" s="127"/>
      <c r="U620" s="127"/>
      <c r="V620" s="127"/>
      <c r="W620" s="127"/>
      <c r="X620" s="127"/>
    </row>
    <row r="621" spans="1:24" ht="21" customHeight="1">
      <c r="A621" s="127"/>
      <c r="B621" s="127"/>
      <c r="C621" s="127"/>
      <c r="D621" s="131"/>
      <c r="E621" s="32"/>
      <c r="F621" s="131"/>
      <c r="G621" s="33"/>
      <c r="H621" s="190"/>
      <c r="I621" s="32"/>
      <c r="J621" s="187"/>
      <c r="K621" s="32"/>
      <c r="L621" s="32"/>
      <c r="M621" s="34"/>
      <c r="N621" s="34"/>
      <c r="O621" s="34"/>
      <c r="P621" s="127"/>
      <c r="Q621" s="127"/>
      <c r="R621" s="127"/>
      <c r="S621" s="127"/>
      <c r="T621" s="127"/>
      <c r="U621" s="127"/>
      <c r="V621" s="127"/>
      <c r="W621" s="127"/>
      <c r="X621" s="127"/>
    </row>
    <row r="622" spans="1:24" ht="21" customHeight="1">
      <c r="A622" s="127"/>
      <c r="B622" s="127"/>
      <c r="C622" s="127"/>
      <c r="D622" s="131"/>
      <c r="E622" s="32"/>
      <c r="F622" s="131"/>
      <c r="G622" s="33"/>
      <c r="H622" s="190"/>
      <c r="I622" s="32"/>
      <c r="J622" s="187"/>
      <c r="K622" s="32"/>
      <c r="L622" s="32"/>
      <c r="M622" s="34"/>
      <c r="N622" s="34"/>
      <c r="O622" s="34"/>
      <c r="P622" s="127"/>
      <c r="Q622" s="127"/>
      <c r="R622" s="127"/>
      <c r="S622" s="127"/>
      <c r="T622" s="127"/>
      <c r="U622" s="127"/>
      <c r="V622" s="127"/>
      <c r="W622" s="127"/>
      <c r="X622" s="127"/>
    </row>
    <row r="623" spans="1:24" ht="21" customHeight="1">
      <c r="A623" s="127"/>
      <c r="B623" s="127"/>
      <c r="C623" s="127"/>
      <c r="D623" s="131"/>
      <c r="E623" s="32"/>
      <c r="F623" s="131"/>
      <c r="G623" s="33"/>
      <c r="H623" s="190"/>
      <c r="I623" s="32"/>
      <c r="J623" s="187"/>
      <c r="K623" s="32"/>
      <c r="L623" s="32"/>
      <c r="M623" s="34"/>
      <c r="N623" s="34"/>
      <c r="O623" s="34"/>
      <c r="P623" s="127"/>
      <c r="Q623" s="127"/>
      <c r="R623" s="127"/>
      <c r="S623" s="127"/>
      <c r="T623" s="127"/>
      <c r="U623" s="127"/>
      <c r="V623" s="127"/>
      <c r="W623" s="127"/>
      <c r="X623" s="127"/>
    </row>
    <row r="624" spans="1:24" ht="21" customHeight="1">
      <c r="A624" s="127"/>
      <c r="B624" s="127"/>
      <c r="C624" s="127"/>
      <c r="D624" s="131"/>
      <c r="E624" s="32"/>
      <c r="F624" s="131"/>
      <c r="G624" s="33"/>
      <c r="H624" s="190"/>
      <c r="I624" s="32"/>
      <c r="J624" s="187"/>
      <c r="K624" s="32"/>
      <c r="L624" s="32"/>
      <c r="M624" s="34"/>
      <c r="N624" s="34"/>
      <c r="O624" s="34"/>
      <c r="P624" s="127"/>
      <c r="Q624" s="127"/>
      <c r="R624" s="127"/>
      <c r="S624" s="127"/>
      <c r="T624" s="127"/>
      <c r="U624" s="127"/>
      <c r="V624" s="127"/>
      <c r="W624" s="127"/>
      <c r="X624" s="127"/>
    </row>
    <row r="625" spans="1:24" ht="21" customHeight="1">
      <c r="A625" s="127"/>
      <c r="B625" s="127"/>
      <c r="C625" s="127"/>
      <c r="D625" s="131"/>
      <c r="E625" s="32"/>
      <c r="F625" s="131"/>
      <c r="G625" s="33"/>
      <c r="H625" s="190"/>
      <c r="I625" s="32"/>
      <c r="J625" s="187"/>
      <c r="K625" s="32"/>
      <c r="L625" s="32"/>
      <c r="M625" s="34"/>
      <c r="N625" s="34"/>
      <c r="O625" s="34"/>
      <c r="P625" s="127"/>
      <c r="Q625" s="127"/>
      <c r="R625" s="127"/>
      <c r="S625" s="127"/>
      <c r="T625" s="127"/>
      <c r="U625" s="127"/>
      <c r="V625" s="127"/>
      <c r="W625" s="127"/>
      <c r="X625" s="127"/>
    </row>
    <row r="626" spans="1:24" ht="21" customHeight="1">
      <c r="A626" s="127"/>
      <c r="B626" s="127"/>
      <c r="C626" s="127"/>
      <c r="D626" s="131"/>
      <c r="E626" s="32"/>
      <c r="F626" s="131"/>
      <c r="G626" s="33"/>
      <c r="H626" s="190"/>
      <c r="I626" s="32"/>
      <c r="J626" s="187"/>
      <c r="K626" s="32"/>
      <c r="L626" s="32"/>
      <c r="M626" s="34"/>
      <c r="N626" s="34"/>
      <c r="O626" s="34"/>
      <c r="P626" s="127"/>
      <c r="Q626" s="127"/>
      <c r="R626" s="127"/>
      <c r="S626" s="127"/>
      <c r="T626" s="127"/>
      <c r="U626" s="127"/>
      <c r="V626" s="127"/>
      <c r="W626" s="127"/>
      <c r="X626" s="127"/>
    </row>
    <row r="627" spans="1:24" ht="21" customHeight="1">
      <c r="A627" s="127"/>
      <c r="B627" s="127"/>
      <c r="C627" s="127"/>
      <c r="D627" s="131"/>
      <c r="E627" s="32"/>
      <c r="F627" s="131"/>
      <c r="G627" s="33"/>
      <c r="H627" s="190"/>
      <c r="I627" s="32"/>
      <c r="J627" s="187"/>
      <c r="K627" s="32"/>
      <c r="L627" s="32"/>
      <c r="M627" s="34"/>
      <c r="N627" s="34"/>
      <c r="O627" s="34"/>
      <c r="P627" s="127"/>
      <c r="Q627" s="127"/>
      <c r="R627" s="127"/>
      <c r="S627" s="127"/>
      <c r="T627" s="127"/>
      <c r="U627" s="127"/>
      <c r="V627" s="127"/>
      <c r="W627" s="127"/>
      <c r="X627" s="127"/>
    </row>
    <row r="628" spans="1:24" ht="21" customHeight="1">
      <c r="A628" s="127"/>
      <c r="B628" s="127"/>
      <c r="C628" s="127"/>
      <c r="D628" s="131"/>
      <c r="E628" s="32"/>
      <c r="F628" s="131"/>
      <c r="G628" s="33"/>
      <c r="H628" s="190"/>
      <c r="I628" s="32"/>
      <c r="J628" s="187"/>
      <c r="K628" s="32"/>
      <c r="L628" s="32"/>
      <c r="M628" s="34"/>
      <c r="N628" s="34"/>
      <c r="O628" s="34"/>
      <c r="P628" s="127"/>
      <c r="Q628" s="127"/>
      <c r="R628" s="127"/>
      <c r="S628" s="127"/>
      <c r="T628" s="127"/>
      <c r="U628" s="127"/>
      <c r="V628" s="127"/>
      <c r="W628" s="127"/>
      <c r="X628" s="127"/>
    </row>
    <row r="629" spans="1:24" ht="21" customHeight="1">
      <c r="A629" s="127"/>
      <c r="B629" s="127"/>
      <c r="C629" s="127"/>
      <c r="D629" s="131"/>
      <c r="E629" s="32"/>
      <c r="F629" s="131"/>
      <c r="G629" s="33"/>
      <c r="H629" s="190"/>
      <c r="I629" s="32"/>
      <c r="J629" s="187"/>
      <c r="K629" s="32"/>
      <c r="L629" s="32"/>
      <c r="M629" s="34"/>
      <c r="N629" s="34"/>
      <c r="O629" s="34"/>
      <c r="P629" s="127"/>
      <c r="Q629" s="127"/>
      <c r="R629" s="127"/>
      <c r="S629" s="127"/>
      <c r="T629" s="127"/>
      <c r="U629" s="127"/>
      <c r="V629" s="127"/>
      <c r="W629" s="127"/>
      <c r="X629" s="127"/>
    </row>
    <row r="630" spans="1:24" ht="21" customHeight="1">
      <c r="A630" s="127"/>
      <c r="B630" s="127"/>
      <c r="C630" s="127"/>
      <c r="D630" s="131"/>
      <c r="E630" s="32"/>
      <c r="F630" s="131"/>
      <c r="G630" s="33"/>
      <c r="H630" s="190"/>
      <c r="I630" s="32"/>
      <c r="J630" s="187"/>
      <c r="K630" s="32"/>
      <c r="L630" s="32"/>
      <c r="M630" s="34"/>
      <c r="N630" s="34"/>
      <c r="O630" s="34"/>
      <c r="P630" s="127"/>
      <c r="Q630" s="127"/>
      <c r="R630" s="127"/>
      <c r="S630" s="127"/>
      <c r="T630" s="127"/>
      <c r="U630" s="127"/>
      <c r="V630" s="127"/>
      <c r="W630" s="127"/>
      <c r="X630" s="127"/>
    </row>
    <row r="631" spans="1:24" ht="21" customHeight="1">
      <c r="A631" s="127"/>
      <c r="B631" s="127"/>
      <c r="C631" s="127"/>
      <c r="D631" s="131"/>
      <c r="E631" s="32"/>
      <c r="F631" s="131"/>
      <c r="G631" s="33"/>
      <c r="H631" s="190"/>
      <c r="I631" s="32"/>
      <c r="J631" s="187"/>
      <c r="K631" s="32"/>
      <c r="L631" s="32"/>
      <c r="M631" s="34"/>
      <c r="N631" s="34"/>
      <c r="O631" s="34"/>
      <c r="P631" s="127"/>
      <c r="Q631" s="127"/>
      <c r="R631" s="127"/>
      <c r="S631" s="127"/>
      <c r="T631" s="127"/>
      <c r="U631" s="127"/>
      <c r="V631" s="127"/>
      <c r="W631" s="127"/>
      <c r="X631" s="127"/>
    </row>
    <row r="632" spans="1:24" ht="21" customHeight="1">
      <c r="A632" s="127"/>
      <c r="B632" s="127"/>
      <c r="C632" s="127"/>
      <c r="D632" s="131"/>
      <c r="E632" s="32"/>
      <c r="F632" s="131"/>
      <c r="G632" s="33"/>
      <c r="H632" s="190"/>
      <c r="I632" s="32"/>
      <c r="J632" s="187"/>
      <c r="K632" s="32"/>
      <c r="L632" s="32"/>
      <c r="M632" s="34"/>
      <c r="N632" s="34"/>
      <c r="O632" s="34"/>
      <c r="P632" s="127"/>
      <c r="Q632" s="127"/>
      <c r="R632" s="127"/>
      <c r="S632" s="127"/>
      <c r="T632" s="127"/>
      <c r="U632" s="127"/>
      <c r="V632" s="127"/>
      <c r="W632" s="127"/>
      <c r="X632" s="127"/>
    </row>
    <row r="633" spans="1:24" ht="21" customHeight="1">
      <c r="A633" s="127"/>
      <c r="B633" s="127"/>
      <c r="C633" s="127"/>
      <c r="D633" s="131"/>
      <c r="E633" s="32"/>
      <c r="F633" s="131"/>
      <c r="G633" s="33"/>
      <c r="H633" s="190"/>
      <c r="I633" s="32"/>
      <c r="J633" s="187"/>
      <c r="K633" s="32"/>
      <c r="L633" s="32"/>
      <c r="M633" s="34"/>
      <c r="N633" s="34"/>
      <c r="O633" s="34"/>
      <c r="P633" s="127"/>
      <c r="Q633" s="127"/>
      <c r="R633" s="127"/>
      <c r="S633" s="127"/>
      <c r="T633" s="127"/>
      <c r="U633" s="127"/>
      <c r="V633" s="127"/>
      <c r="W633" s="127"/>
      <c r="X633" s="127"/>
    </row>
    <row r="634" spans="1:24" ht="21" customHeight="1">
      <c r="A634" s="127"/>
      <c r="B634" s="127"/>
      <c r="C634" s="127"/>
      <c r="D634" s="131"/>
      <c r="E634" s="32"/>
      <c r="F634" s="131"/>
      <c r="G634" s="33"/>
      <c r="H634" s="190"/>
      <c r="I634" s="32"/>
      <c r="J634" s="187"/>
      <c r="K634" s="32"/>
      <c r="L634" s="32"/>
      <c r="M634" s="34"/>
      <c r="N634" s="34"/>
      <c r="O634" s="34"/>
      <c r="P634" s="127"/>
      <c r="Q634" s="127"/>
      <c r="R634" s="127"/>
      <c r="S634" s="127"/>
      <c r="T634" s="127"/>
      <c r="U634" s="127"/>
      <c r="V634" s="127"/>
      <c r="W634" s="127"/>
      <c r="X634" s="127"/>
    </row>
    <row r="635" spans="1:24" ht="21" customHeight="1">
      <c r="A635" s="127"/>
      <c r="B635" s="127"/>
      <c r="C635" s="127"/>
      <c r="D635" s="131"/>
      <c r="E635" s="32"/>
      <c r="F635" s="131"/>
      <c r="G635" s="33"/>
      <c r="H635" s="190"/>
      <c r="I635" s="32"/>
      <c r="J635" s="187"/>
      <c r="K635" s="32"/>
      <c r="L635" s="32"/>
      <c r="M635" s="34"/>
      <c r="N635" s="34"/>
      <c r="O635" s="34"/>
      <c r="P635" s="127"/>
      <c r="Q635" s="127"/>
      <c r="R635" s="127"/>
      <c r="S635" s="127"/>
      <c r="T635" s="127"/>
      <c r="U635" s="127"/>
      <c r="V635" s="127"/>
      <c r="W635" s="127"/>
      <c r="X635" s="127"/>
    </row>
    <row r="636" spans="1:24" ht="21" customHeight="1">
      <c r="A636" s="127"/>
      <c r="B636" s="127"/>
      <c r="C636" s="127"/>
      <c r="D636" s="131"/>
      <c r="E636" s="32"/>
      <c r="F636" s="131"/>
      <c r="G636" s="33"/>
      <c r="H636" s="190"/>
      <c r="I636" s="32"/>
      <c r="J636" s="187"/>
      <c r="K636" s="32"/>
      <c r="L636" s="32"/>
      <c r="M636" s="34"/>
      <c r="N636" s="34"/>
      <c r="O636" s="34"/>
      <c r="P636" s="127"/>
      <c r="Q636" s="127"/>
      <c r="R636" s="127"/>
      <c r="S636" s="127"/>
      <c r="T636" s="127"/>
      <c r="U636" s="127"/>
      <c r="V636" s="127"/>
      <c r="W636" s="127"/>
      <c r="X636" s="127"/>
    </row>
    <row r="637" spans="1:24" ht="21" customHeight="1">
      <c r="A637" s="127"/>
      <c r="B637" s="127"/>
      <c r="C637" s="127"/>
      <c r="D637" s="131"/>
      <c r="E637" s="32"/>
      <c r="F637" s="131"/>
      <c r="G637" s="33"/>
      <c r="H637" s="190"/>
      <c r="I637" s="32"/>
      <c r="J637" s="187"/>
      <c r="K637" s="32"/>
      <c r="L637" s="32"/>
      <c r="M637" s="34"/>
      <c r="N637" s="34"/>
      <c r="O637" s="34"/>
      <c r="P637" s="127"/>
      <c r="Q637" s="127"/>
      <c r="R637" s="127"/>
      <c r="S637" s="127"/>
      <c r="T637" s="127"/>
      <c r="U637" s="127"/>
      <c r="V637" s="127"/>
      <c r="W637" s="127"/>
      <c r="X637" s="127"/>
    </row>
    <row r="638" spans="1:24" ht="21" customHeight="1">
      <c r="A638" s="127"/>
      <c r="B638" s="127"/>
      <c r="C638" s="127"/>
      <c r="D638" s="131"/>
      <c r="E638" s="32"/>
      <c r="F638" s="131"/>
      <c r="G638" s="33"/>
      <c r="H638" s="190"/>
      <c r="I638" s="32"/>
      <c r="J638" s="187"/>
      <c r="K638" s="32"/>
      <c r="L638" s="32"/>
      <c r="M638" s="34"/>
      <c r="N638" s="34"/>
      <c r="O638" s="34"/>
      <c r="P638" s="127"/>
      <c r="Q638" s="127"/>
      <c r="R638" s="127"/>
      <c r="S638" s="127"/>
      <c r="T638" s="127"/>
      <c r="U638" s="127"/>
      <c r="V638" s="127"/>
      <c r="W638" s="127"/>
      <c r="X638" s="127"/>
    </row>
    <row r="639" spans="1:24" ht="21" customHeight="1">
      <c r="A639" s="127"/>
      <c r="B639" s="127"/>
      <c r="C639" s="127"/>
      <c r="D639" s="131"/>
      <c r="E639" s="32"/>
      <c r="F639" s="131"/>
      <c r="G639" s="33"/>
      <c r="H639" s="190"/>
      <c r="I639" s="32"/>
      <c r="J639" s="187"/>
      <c r="K639" s="32"/>
      <c r="L639" s="32"/>
      <c r="M639" s="34"/>
      <c r="N639" s="34"/>
      <c r="O639" s="34"/>
      <c r="P639" s="127"/>
      <c r="Q639" s="127"/>
      <c r="R639" s="127"/>
      <c r="S639" s="127"/>
      <c r="T639" s="127"/>
      <c r="U639" s="127"/>
      <c r="V639" s="127"/>
      <c r="W639" s="127"/>
      <c r="X639" s="127"/>
    </row>
    <row r="640" spans="1:24" ht="21" customHeight="1">
      <c r="A640" s="127"/>
      <c r="B640" s="127"/>
      <c r="C640" s="127"/>
      <c r="D640" s="131"/>
      <c r="E640" s="32"/>
      <c r="F640" s="131"/>
      <c r="G640" s="33"/>
      <c r="H640" s="190"/>
      <c r="I640" s="32"/>
      <c r="J640" s="187"/>
      <c r="K640" s="32"/>
      <c r="L640" s="32"/>
      <c r="M640" s="34"/>
      <c r="N640" s="34"/>
      <c r="O640" s="34"/>
      <c r="P640" s="127"/>
      <c r="Q640" s="127"/>
      <c r="R640" s="127"/>
      <c r="S640" s="127"/>
      <c r="T640" s="127"/>
      <c r="U640" s="127"/>
      <c r="V640" s="127"/>
      <c r="W640" s="127"/>
      <c r="X640" s="127"/>
    </row>
    <row r="641" spans="1:24" ht="21" customHeight="1">
      <c r="A641" s="127"/>
      <c r="B641" s="127"/>
      <c r="C641" s="127"/>
      <c r="D641" s="131"/>
      <c r="E641" s="32"/>
      <c r="F641" s="131"/>
      <c r="G641" s="33"/>
      <c r="H641" s="190"/>
      <c r="I641" s="32"/>
      <c r="J641" s="187"/>
      <c r="K641" s="32"/>
      <c r="L641" s="32"/>
      <c r="M641" s="34"/>
      <c r="N641" s="34"/>
      <c r="O641" s="34"/>
      <c r="P641" s="127"/>
      <c r="Q641" s="127"/>
      <c r="R641" s="127"/>
      <c r="S641" s="127"/>
      <c r="T641" s="127"/>
      <c r="U641" s="127"/>
      <c r="V641" s="127"/>
      <c r="W641" s="127"/>
      <c r="X641" s="127"/>
    </row>
    <row r="642" spans="1:24" ht="21" customHeight="1">
      <c r="A642" s="127"/>
      <c r="B642" s="127"/>
      <c r="C642" s="127"/>
      <c r="D642" s="131"/>
      <c r="E642" s="32"/>
      <c r="F642" s="131"/>
      <c r="G642" s="33"/>
      <c r="H642" s="190"/>
      <c r="I642" s="32"/>
      <c r="J642" s="187"/>
      <c r="K642" s="32"/>
      <c r="L642" s="32"/>
      <c r="M642" s="34"/>
      <c r="N642" s="34"/>
      <c r="O642" s="34"/>
      <c r="P642" s="127"/>
      <c r="Q642" s="127"/>
      <c r="R642" s="127"/>
      <c r="S642" s="127"/>
      <c r="T642" s="127"/>
      <c r="U642" s="127"/>
      <c r="V642" s="127"/>
      <c r="W642" s="127"/>
      <c r="X642" s="127"/>
    </row>
    <row r="643" spans="1:24" ht="21" customHeight="1">
      <c r="A643" s="127"/>
      <c r="B643" s="127"/>
      <c r="C643" s="127"/>
      <c r="D643" s="131"/>
      <c r="E643" s="32"/>
      <c r="F643" s="131"/>
      <c r="G643" s="33"/>
      <c r="H643" s="190"/>
      <c r="I643" s="32"/>
      <c r="J643" s="187"/>
      <c r="K643" s="32"/>
      <c r="L643" s="32"/>
      <c r="M643" s="34"/>
      <c r="N643" s="34"/>
      <c r="O643" s="34"/>
      <c r="P643" s="127"/>
      <c r="Q643" s="127"/>
      <c r="R643" s="127"/>
      <c r="S643" s="127"/>
      <c r="T643" s="127"/>
      <c r="U643" s="127"/>
      <c r="V643" s="127"/>
      <c r="W643" s="127"/>
      <c r="X643" s="127"/>
    </row>
    <row r="644" spans="1:24" ht="21" customHeight="1">
      <c r="A644" s="127"/>
      <c r="B644" s="127"/>
      <c r="C644" s="127"/>
      <c r="D644" s="131"/>
      <c r="E644" s="32"/>
      <c r="F644" s="131"/>
      <c r="G644" s="33"/>
      <c r="H644" s="190"/>
      <c r="I644" s="32"/>
      <c r="J644" s="187"/>
      <c r="K644" s="32"/>
      <c r="L644" s="32"/>
      <c r="M644" s="34"/>
      <c r="N644" s="34"/>
      <c r="O644" s="34"/>
      <c r="P644" s="127"/>
      <c r="Q644" s="127"/>
      <c r="R644" s="127"/>
      <c r="S644" s="127"/>
      <c r="T644" s="127"/>
      <c r="U644" s="127"/>
      <c r="V644" s="127"/>
      <c r="W644" s="127"/>
      <c r="X644" s="127"/>
    </row>
    <row r="645" spans="1:24" ht="21" customHeight="1">
      <c r="A645" s="127"/>
      <c r="B645" s="127"/>
      <c r="C645" s="127"/>
      <c r="D645" s="131"/>
      <c r="E645" s="32"/>
      <c r="F645" s="131"/>
      <c r="G645" s="33"/>
      <c r="H645" s="190"/>
      <c r="I645" s="32"/>
      <c r="J645" s="187"/>
      <c r="K645" s="32"/>
      <c r="L645" s="32"/>
      <c r="M645" s="34"/>
      <c r="N645" s="34"/>
      <c r="O645" s="34"/>
      <c r="P645" s="127"/>
      <c r="Q645" s="127"/>
      <c r="R645" s="127"/>
      <c r="S645" s="127"/>
      <c r="T645" s="127"/>
      <c r="U645" s="127"/>
      <c r="V645" s="127"/>
      <c r="W645" s="127"/>
      <c r="X645" s="127"/>
    </row>
    <row r="646" spans="1:24" ht="21" customHeight="1">
      <c r="A646" s="127"/>
      <c r="B646" s="127"/>
      <c r="C646" s="127"/>
      <c r="D646" s="131"/>
      <c r="E646" s="32"/>
      <c r="F646" s="131"/>
      <c r="G646" s="33"/>
      <c r="H646" s="190"/>
      <c r="I646" s="32"/>
      <c r="J646" s="187"/>
      <c r="K646" s="32"/>
      <c r="L646" s="32"/>
      <c r="M646" s="34"/>
      <c r="N646" s="34"/>
      <c r="O646" s="34"/>
      <c r="P646" s="127"/>
      <c r="Q646" s="127"/>
      <c r="R646" s="127"/>
      <c r="S646" s="127"/>
      <c r="T646" s="127"/>
      <c r="U646" s="127"/>
      <c r="V646" s="127"/>
      <c r="W646" s="127"/>
      <c r="X646" s="127"/>
    </row>
    <row r="647" spans="1:24" ht="21" customHeight="1">
      <c r="A647" s="127"/>
      <c r="B647" s="127"/>
      <c r="C647" s="127"/>
      <c r="D647" s="131"/>
      <c r="E647" s="32"/>
      <c r="F647" s="131"/>
      <c r="G647" s="33"/>
      <c r="H647" s="190"/>
      <c r="I647" s="32"/>
      <c r="J647" s="187"/>
      <c r="K647" s="32"/>
      <c r="L647" s="32"/>
      <c r="M647" s="34"/>
      <c r="N647" s="34"/>
      <c r="O647" s="34"/>
      <c r="P647" s="127"/>
      <c r="Q647" s="127"/>
      <c r="R647" s="127"/>
      <c r="S647" s="127"/>
      <c r="T647" s="127"/>
      <c r="U647" s="127"/>
      <c r="V647" s="127"/>
      <c r="W647" s="127"/>
      <c r="X647" s="127"/>
    </row>
    <row r="648" spans="1:24" ht="21" customHeight="1">
      <c r="A648" s="127"/>
      <c r="B648" s="127"/>
      <c r="C648" s="127"/>
      <c r="D648" s="131"/>
      <c r="E648" s="32"/>
      <c r="F648" s="131"/>
      <c r="G648" s="33"/>
      <c r="H648" s="190"/>
      <c r="I648" s="32"/>
      <c r="J648" s="187"/>
      <c r="K648" s="32"/>
      <c r="L648" s="32"/>
      <c r="M648" s="34"/>
      <c r="N648" s="34"/>
      <c r="O648" s="34"/>
      <c r="P648" s="127"/>
      <c r="Q648" s="127"/>
      <c r="R648" s="127"/>
      <c r="S648" s="127"/>
      <c r="T648" s="127"/>
      <c r="U648" s="127"/>
      <c r="V648" s="127"/>
      <c r="W648" s="127"/>
      <c r="X648" s="127"/>
    </row>
    <row r="649" spans="1:24" ht="21" customHeight="1">
      <c r="A649" s="127"/>
      <c r="B649" s="127"/>
      <c r="C649" s="127"/>
      <c r="D649" s="131"/>
      <c r="E649" s="32"/>
      <c r="F649" s="131"/>
      <c r="G649" s="33"/>
      <c r="H649" s="190"/>
      <c r="I649" s="32"/>
      <c r="J649" s="187"/>
      <c r="K649" s="32"/>
      <c r="L649" s="32"/>
      <c r="M649" s="34"/>
      <c r="N649" s="34"/>
      <c r="O649" s="34"/>
      <c r="P649" s="127"/>
      <c r="Q649" s="127"/>
      <c r="R649" s="127"/>
      <c r="S649" s="127"/>
      <c r="T649" s="127"/>
      <c r="U649" s="127"/>
      <c r="V649" s="127"/>
      <c r="W649" s="127"/>
      <c r="X649" s="127"/>
    </row>
    <row r="650" spans="1:24" ht="21" customHeight="1">
      <c r="A650" s="127"/>
      <c r="B650" s="127"/>
      <c r="C650" s="127"/>
      <c r="D650" s="131"/>
      <c r="E650" s="32"/>
      <c r="F650" s="131"/>
      <c r="G650" s="33"/>
      <c r="H650" s="190"/>
      <c r="I650" s="32"/>
      <c r="J650" s="187"/>
      <c r="K650" s="32"/>
      <c r="L650" s="32"/>
      <c r="M650" s="34"/>
      <c r="N650" s="34"/>
      <c r="O650" s="34"/>
      <c r="P650" s="127"/>
      <c r="Q650" s="127"/>
      <c r="R650" s="127"/>
      <c r="S650" s="127"/>
      <c r="T650" s="127"/>
      <c r="U650" s="127"/>
      <c r="V650" s="127"/>
      <c r="W650" s="127"/>
      <c r="X650" s="127"/>
    </row>
    <row r="651" spans="1:24" ht="21" customHeight="1">
      <c r="A651" s="127"/>
      <c r="B651" s="127"/>
      <c r="C651" s="127"/>
      <c r="D651" s="131"/>
      <c r="E651" s="32"/>
      <c r="F651" s="131"/>
      <c r="G651" s="33"/>
      <c r="H651" s="190"/>
      <c r="I651" s="32"/>
      <c r="J651" s="187"/>
      <c r="K651" s="32"/>
      <c r="L651" s="32"/>
      <c r="M651" s="34"/>
      <c r="N651" s="34"/>
      <c r="O651" s="34"/>
      <c r="P651" s="127"/>
      <c r="Q651" s="127"/>
      <c r="R651" s="127"/>
      <c r="S651" s="127"/>
      <c r="T651" s="127"/>
      <c r="U651" s="127"/>
      <c r="V651" s="127"/>
      <c r="W651" s="127"/>
      <c r="X651" s="127"/>
    </row>
    <row r="652" spans="1:24" ht="21" customHeight="1">
      <c r="A652" s="127"/>
      <c r="B652" s="127"/>
      <c r="C652" s="127"/>
      <c r="D652" s="131"/>
      <c r="E652" s="32"/>
      <c r="F652" s="131"/>
      <c r="G652" s="33"/>
      <c r="H652" s="190"/>
      <c r="I652" s="32"/>
      <c r="J652" s="187"/>
      <c r="K652" s="32"/>
      <c r="L652" s="32"/>
      <c r="M652" s="34"/>
      <c r="N652" s="34"/>
      <c r="O652" s="34"/>
      <c r="P652" s="127"/>
      <c r="Q652" s="127"/>
      <c r="R652" s="127"/>
      <c r="S652" s="127"/>
      <c r="T652" s="127"/>
      <c r="U652" s="127"/>
      <c r="V652" s="127"/>
      <c r="W652" s="127"/>
      <c r="X652" s="127"/>
    </row>
    <row r="653" spans="1:24" ht="21" customHeight="1">
      <c r="A653" s="127"/>
      <c r="B653" s="127"/>
      <c r="C653" s="127"/>
      <c r="D653" s="131"/>
      <c r="E653" s="32"/>
      <c r="F653" s="131"/>
      <c r="G653" s="33"/>
      <c r="H653" s="190"/>
      <c r="I653" s="32"/>
      <c r="J653" s="187"/>
      <c r="K653" s="32"/>
      <c r="L653" s="32"/>
      <c r="M653" s="34"/>
      <c r="N653" s="34"/>
      <c r="O653" s="34"/>
      <c r="P653" s="127"/>
      <c r="Q653" s="127"/>
      <c r="R653" s="127"/>
      <c r="S653" s="127"/>
      <c r="T653" s="127"/>
      <c r="U653" s="127"/>
      <c r="V653" s="127"/>
      <c r="W653" s="127"/>
      <c r="X653" s="127"/>
    </row>
    <row r="654" spans="1:24" ht="21" customHeight="1">
      <c r="A654" s="127"/>
      <c r="B654" s="127"/>
      <c r="C654" s="127"/>
      <c r="D654" s="131"/>
      <c r="E654" s="32"/>
      <c r="F654" s="131"/>
      <c r="G654" s="33"/>
      <c r="H654" s="190"/>
      <c r="I654" s="32"/>
      <c r="J654" s="187"/>
      <c r="K654" s="32"/>
      <c r="L654" s="32"/>
      <c r="M654" s="34"/>
      <c r="N654" s="34"/>
      <c r="O654" s="34"/>
      <c r="P654" s="127"/>
      <c r="Q654" s="127"/>
      <c r="R654" s="127"/>
      <c r="S654" s="127"/>
      <c r="T654" s="127"/>
      <c r="U654" s="127"/>
      <c r="V654" s="127"/>
      <c r="W654" s="127"/>
      <c r="X654" s="127"/>
    </row>
    <row r="655" spans="1:24" ht="21" customHeight="1">
      <c r="A655" s="127"/>
      <c r="B655" s="127"/>
      <c r="C655" s="127"/>
      <c r="D655" s="131"/>
      <c r="E655" s="32"/>
      <c r="F655" s="131"/>
      <c r="G655" s="33"/>
      <c r="H655" s="190"/>
      <c r="I655" s="32"/>
      <c r="J655" s="187"/>
      <c r="K655" s="32"/>
      <c r="L655" s="32"/>
      <c r="M655" s="34"/>
      <c r="N655" s="34"/>
      <c r="O655" s="34"/>
      <c r="P655" s="127"/>
      <c r="Q655" s="127"/>
      <c r="R655" s="127"/>
      <c r="S655" s="127"/>
      <c r="T655" s="127"/>
      <c r="U655" s="127"/>
      <c r="V655" s="127"/>
      <c r="W655" s="127"/>
      <c r="X655" s="127"/>
    </row>
    <row r="656" spans="1:24" ht="21" customHeight="1">
      <c r="A656" s="127"/>
      <c r="B656" s="127"/>
      <c r="C656" s="127"/>
      <c r="D656" s="131"/>
      <c r="E656" s="32"/>
      <c r="F656" s="131"/>
      <c r="G656" s="33"/>
      <c r="H656" s="190"/>
      <c r="I656" s="32"/>
      <c r="J656" s="187"/>
      <c r="K656" s="32"/>
      <c r="L656" s="32"/>
      <c r="M656" s="34"/>
      <c r="N656" s="34"/>
      <c r="O656" s="34"/>
      <c r="P656" s="127"/>
      <c r="Q656" s="127"/>
      <c r="R656" s="127"/>
      <c r="S656" s="127"/>
      <c r="T656" s="127"/>
      <c r="U656" s="127"/>
      <c r="V656" s="127"/>
      <c r="W656" s="127"/>
      <c r="X656" s="127"/>
    </row>
    <row r="657" spans="1:24" ht="21" customHeight="1">
      <c r="A657" s="127"/>
      <c r="B657" s="127"/>
      <c r="C657" s="127"/>
      <c r="D657" s="131"/>
      <c r="E657" s="32"/>
      <c r="F657" s="131"/>
      <c r="G657" s="33"/>
      <c r="H657" s="190"/>
      <c r="I657" s="32"/>
      <c r="J657" s="187"/>
      <c r="K657" s="32"/>
      <c r="L657" s="32"/>
      <c r="M657" s="34"/>
      <c r="N657" s="34"/>
      <c r="O657" s="34"/>
      <c r="P657" s="127"/>
      <c r="Q657" s="127"/>
      <c r="R657" s="127"/>
      <c r="S657" s="127"/>
      <c r="T657" s="127"/>
      <c r="U657" s="127"/>
      <c r="V657" s="127"/>
      <c r="W657" s="127"/>
      <c r="X657" s="127"/>
    </row>
    <row r="658" spans="1:24" ht="21" customHeight="1">
      <c r="A658" s="127"/>
      <c r="B658" s="127"/>
      <c r="C658" s="127"/>
      <c r="D658" s="131"/>
      <c r="E658" s="32"/>
      <c r="F658" s="131"/>
      <c r="G658" s="33"/>
      <c r="H658" s="190"/>
      <c r="I658" s="32"/>
      <c r="J658" s="187"/>
      <c r="K658" s="32"/>
      <c r="L658" s="32"/>
      <c r="M658" s="34"/>
      <c r="N658" s="34"/>
      <c r="O658" s="34"/>
      <c r="P658" s="127"/>
      <c r="Q658" s="127"/>
      <c r="R658" s="127"/>
      <c r="S658" s="127"/>
      <c r="T658" s="127"/>
      <c r="U658" s="127"/>
      <c r="V658" s="127"/>
      <c r="W658" s="127"/>
      <c r="X658" s="127"/>
    </row>
  </sheetData>
  <mergeCells count="8">
    <mergeCell ref="O1:O2"/>
    <mergeCell ref="H1:I1"/>
    <mergeCell ref="J1:K1"/>
    <mergeCell ref="F1:G1"/>
    <mergeCell ref="A1:A2"/>
    <mergeCell ref="B1:B2"/>
    <mergeCell ref="D1:D2"/>
    <mergeCell ref="E1:E2"/>
  </mergeCells>
  <phoneticPr fontId="49" type="noConversion"/>
  <pageMargins left="0.86614173228346458" right="0.47244094488188981" top="0.78740157480314965" bottom="0.47244094488188981" header="0.47244094488188981" footer="0"/>
  <pageSetup paperSize="9" scale="80" orientation="landscape" r:id="rId1"/>
  <headerFooter alignWithMargins="0">
    <oddHeader>&amp;C&amp;"굴림체,굵게"&amp;14단 가 대 비 표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M20"/>
  <sheetViews>
    <sheetView showZeros="0" view="pageBreakPreview" workbookViewId="0">
      <selection activeCell="M21" sqref="M21"/>
    </sheetView>
  </sheetViews>
  <sheetFormatPr defaultRowHeight="13.5"/>
  <cols>
    <col min="1" max="16384" width="8.88671875" style="5"/>
  </cols>
  <sheetData>
    <row r="1" spans="1:13" s="3" customFormat="1" ht="24" customHeight="1"/>
    <row r="2" spans="1:13" s="4" customFormat="1" ht="24" customHeight="1"/>
    <row r="3" spans="1:13" s="3" customFormat="1" ht="30.95" customHeight="1">
      <c r="A3" s="578" t="str">
        <f>표지1!A3</f>
        <v>두류지하도상가 비상발전기 설치 전기공사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</row>
    <row r="4" spans="1:13" s="3" customFormat="1" ht="21" customHeight="1"/>
    <row r="5" spans="1:13" s="3" customFormat="1" ht="27" customHeight="1">
      <c r="A5" s="578" t="s">
        <v>825</v>
      </c>
      <c r="B5" s="578"/>
      <c r="C5" s="578"/>
      <c r="D5" s="578"/>
      <c r="E5" s="578"/>
      <c r="F5" s="578"/>
      <c r="G5" s="578"/>
      <c r="H5" s="578"/>
      <c r="I5" s="578"/>
      <c r="J5" s="578"/>
      <c r="K5" s="578"/>
      <c r="L5" s="578"/>
      <c r="M5" s="578"/>
    </row>
    <row r="6" spans="1:13" s="3" customFormat="1" ht="24" customHeight="1"/>
    <row r="7" spans="1:13" s="3" customFormat="1" ht="24" customHeight="1"/>
    <row r="8" spans="1:13" s="3" customFormat="1" ht="24" customHeight="1"/>
    <row r="9" spans="1:13" s="3" customFormat="1" ht="24" customHeight="1"/>
    <row r="10" spans="1:13" s="3" customFormat="1" ht="24" customHeight="1"/>
    <row r="11" spans="1:13" s="3" customFormat="1" ht="24" customHeight="1">
      <c r="A11" s="578" t="str">
        <f>표지1!A11</f>
        <v>2026.      4.</v>
      </c>
      <c r="B11" s="578"/>
      <c r="C11" s="578"/>
      <c r="D11" s="578"/>
      <c r="E11" s="578"/>
      <c r="F11" s="578"/>
      <c r="G11" s="578"/>
      <c r="H11" s="578"/>
      <c r="I11" s="578"/>
      <c r="J11" s="578"/>
      <c r="K11" s="578"/>
      <c r="L11" s="578"/>
      <c r="M11" s="578"/>
    </row>
    <row r="12" spans="1:13" s="3" customFormat="1" ht="24" customHeight="1"/>
    <row r="13" spans="1:13" s="3" customFormat="1" ht="24" customHeight="1"/>
    <row r="14" spans="1:13" s="3" customFormat="1" ht="24" customHeight="1"/>
    <row r="15" spans="1:13" s="3" customFormat="1" ht="24" customHeight="1"/>
    <row r="16" spans="1:13" s="3" customFormat="1" ht="24" customHeight="1"/>
    <row r="17" spans="1:13" s="3" customFormat="1" ht="24" customHeight="1">
      <c r="A17" s="578">
        <f>표지1!A17</f>
        <v>0</v>
      </c>
      <c r="B17" s="578"/>
      <c r="C17" s="578"/>
      <c r="D17" s="578"/>
      <c r="E17" s="578"/>
      <c r="F17" s="578"/>
      <c r="G17" s="578"/>
      <c r="H17" s="578"/>
      <c r="I17" s="578"/>
      <c r="J17" s="578"/>
      <c r="K17" s="578"/>
      <c r="L17" s="578"/>
      <c r="M17" s="578"/>
    </row>
    <row r="18" spans="1:13" s="3" customFormat="1" ht="24" customHeight="1"/>
    <row r="19" spans="1:13" s="3" customFormat="1" ht="24" customHeight="1"/>
    <row r="20" spans="1:13" s="4" customFormat="1" ht="24" customHeight="1"/>
  </sheetData>
  <mergeCells count="4">
    <mergeCell ref="A3:M3"/>
    <mergeCell ref="A5:M5"/>
    <mergeCell ref="A11:M11"/>
    <mergeCell ref="A17:M17"/>
  </mergeCells>
  <phoneticPr fontId="4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indexed="17"/>
  </sheetPr>
  <dimension ref="A1:O124"/>
  <sheetViews>
    <sheetView showGridLines="0" showZeros="0" view="pageBreakPreview" zoomScale="115" zoomScaleNormal="130" workbookViewId="0">
      <selection activeCell="A4" sqref="A4"/>
    </sheetView>
  </sheetViews>
  <sheetFormatPr defaultRowHeight="23.1" customHeight="1"/>
  <cols>
    <col min="1" max="1" width="15.109375" style="162" customWidth="1"/>
    <col min="2" max="2" width="14.77734375" style="162" customWidth="1"/>
    <col min="3" max="3" width="4.33203125" style="120" customWidth="1"/>
    <col min="4" max="4" width="6.77734375" style="162" customWidth="1"/>
    <col min="5" max="5" width="9.109375" style="162" customWidth="1"/>
    <col min="6" max="6" width="10.33203125" style="162" customWidth="1"/>
    <col min="7" max="7" width="8.21875" style="162" customWidth="1"/>
    <col min="8" max="8" width="9.77734375" style="162" customWidth="1"/>
    <col min="9" max="9" width="7.33203125" style="162" customWidth="1"/>
    <col min="10" max="10" width="8.77734375" style="162" customWidth="1"/>
    <col min="11" max="11" width="8.21875" style="162" customWidth="1"/>
    <col min="12" max="12" width="9.77734375" style="162" customWidth="1"/>
    <col min="13" max="13" width="6.77734375" style="120" customWidth="1"/>
    <col min="14" max="14" width="1.5546875" style="162" customWidth="1"/>
    <col min="15" max="15" width="8.88671875" style="162"/>
    <col min="16" max="17" width="10" style="162" bestFit="1" customWidth="1"/>
    <col min="18" max="16384" width="8.88671875" style="162"/>
  </cols>
  <sheetData>
    <row r="1" spans="1:15" s="177" customFormat="1" ht="23.1" customHeight="1">
      <c r="A1" s="684" t="s">
        <v>487</v>
      </c>
      <c r="B1" s="684" t="s">
        <v>488</v>
      </c>
      <c r="C1" s="686" t="s">
        <v>489</v>
      </c>
      <c r="D1" s="684" t="s">
        <v>490</v>
      </c>
      <c r="E1" s="684" t="s">
        <v>481</v>
      </c>
      <c r="F1" s="684"/>
      <c r="G1" s="684" t="s">
        <v>482</v>
      </c>
      <c r="H1" s="684"/>
      <c r="I1" s="684" t="s">
        <v>491</v>
      </c>
      <c r="J1" s="684"/>
      <c r="K1" s="684" t="s">
        <v>492</v>
      </c>
      <c r="L1" s="684"/>
      <c r="M1" s="684" t="s">
        <v>493</v>
      </c>
    </row>
    <row r="2" spans="1:15" s="177" customFormat="1" ht="23.1" customHeight="1">
      <c r="A2" s="684"/>
      <c r="B2" s="684"/>
      <c r="C2" s="686"/>
      <c r="D2" s="684"/>
      <c r="E2" s="98" t="s">
        <v>494</v>
      </c>
      <c r="F2" s="98" t="s">
        <v>495</v>
      </c>
      <c r="G2" s="98" t="s">
        <v>494</v>
      </c>
      <c r="H2" s="98" t="s">
        <v>495</v>
      </c>
      <c r="I2" s="98" t="s">
        <v>494</v>
      </c>
      <c r="J2" s="98" t="s">
        <v>495</v>
      </c>
      <c r="K2" s="98" t="s">
        <v>494</v>
      </c>
      <c r="L2" s="98" t="s">
        <v>495</v>
      </c>
      <c r="M2" s="684"/>
    </row>
    <row r="3" spans="1:15" s="178" customFormat="1" ht="23.1" customHeight="1">
      <c r="A3" s="685" t="s">
        <v>497</v>
      </c>
      <c r="B3" s="685"/>
      <c r="C3" s="99"/>
      <c r="D3" s="112"/>
      <c r="E3" s="110"/>
      <c r="F3" s="112"/>
      <c r="G3" s="112"/>
      <c r="H3" s="112"/>
      <c r="I3" s="112"/>
      <c r="J3" s="112"/>
      <c r="K3" s="112"/>
      <c r="L3" s="112"/>
      <c r="M3" s="118"/>
    </row>
    <row r="4" spans="1:15" s="178" customFormat="1" ht="23.1" customHeight="1">
      <c r="A4" s="183" t="e">
        <f>내역서!#REF!</f>
        <v>#REF!</v>
      </c>
      <c r="B4" s="183" t="e">
        <f>내역서!#REF!</f>
        <v>#REF!</v>
      </c>
      <c r="C4" s="183" t="e">
        <f>내역서!#REF!</f>
        <v>#REF!</v>
      </c>
      <c r="D4" s="110" t="e">
        <f>내역서!#REF!</f>
        <v>#REF!</v>
      </c>
      <c r="E4" s="179" t="e">
        <v>#REF!</v>
      </c>
      <c r="F4" s="180" t="e">
        <f>INT(D4*E4)</f>
        <v>#REF!</v>
      </c>
      <c r="G4" s="112"/>
      <c r="H4" s="112" t="e">
        <f>INT(D4*G4)</f>
        <v>#REF!</v>
      </c>
      <c r="I4" s="112"/>
      <c r="J4" s="112"/>
      <c r="K4" s="112"/>
      <c r="L4" s="112" t="e">
        <f>SUM(F4+H4+J4)</f>
        <v>#REF!</v>
      </c>
      <c r="M4" s="118"/>
    </row>
    <row r="5" spans="1:15" s="178" customFormat="1" ht="23.1" customHeight="1">
      <c r="A5" s="183" t="e">
        <f>내역서!#REF!</f>
        <v>#REF!</v>
      </c>
      <c r="B5" s="183" t="e">
        <f>내역서!#REF!</f>
        <v>#REF!</v>
      </c>
      <c r="C5" s="183" t="e">
        <f>내역서!#REF!</f>
        <v>#REF!</v>
      </c>
      <c r="D5" s="110" t="e">
        <f>내역서!#REF!</f>
        <v>#REF!</v>
      </c>
      <c r="E5" s="179" t="e">
        <v>#REF!</v>
      </c>
      <c r="F5" s="180" t="e">
        <f>INT(D5*E5)</f>
        <v>#REF!</v>
      </c>
      <c r="G5" s="112"/>
      <c r="H5" s="112" t="e">
        <f>INT(D5*G5)</f>
        <v>#REF!</v>
      </c>
      <c r="I5" s="112"/>
      <c r="J5" s="112"/>
      <c r="K5" s="112"/>
      <c r="L5" s="112" t="e">
        <f>SUM(F5+H5+J5)</f>
        <v>#REF!</v>
      </c>
      <c r="M5" s="118"/>
    </row>
    <row r="6" spans="1:15" s="178" customFormat="1" ht="23.1" customHeight="1">
      <c r="A6" s="112"/>
      <c r="B6" s="112"/>
      <c r="C6" s="99"/>
      <c r="D6" s="112"/>
      <c r="E6" s="110"/>
      <c r="F6" s="112"/>
      <c r="G6" s="112"/>
      <c r="H6" s="112"/>
      <c r="I6" s="112"/>
      <c r="J6" s="112"/>
      <c r="K6" s="112"/>
      <c r="L6" s="112"/>
      <c r="M6" s="118"/>
    </row>
    <row r="7" spans="1:15" s="178" customFormat="1" ht="23.1" customHeight="1">
      <c r="A7" s="112" t="s">
        <v>496</v>
      </c>
      <c r="B7" s="112"/>
      <c r="C7" s="99"/>
      <c r="D7" s="112"/>
      <c r="E7" s="110"/>
      <c r="F7" s="112" t="e">
        <f>SUM(F4:F6)</f>
        <v>#REF!</v>
      </c>
      <c r="G7" s="112"/>
      <c r="H7" s="112">
        <f>SUM(H6:H6)</f>
        <v>0</v>
      </c>
      <c r="I7" s="112"/>
      <c r="J7" s="112">
        <f>SUM(J6:J6)</f>
        <v>0</v>
      </c>
      <c r="K7" s="112"/>
      <c r="L7" s="112" t="e">
        <f>SUM(F7+H7+J7)</f>
        <v>#REF!</v>
      </c>
      <c r="M7" s="118"/>
      <c r="O7" s="181"/>
    </row>
    <row r="8" spans="1:15" s="178" customFormat="1" ht="23.1" customHeight="1">
      <c r="A8" s="112"/>
      <c r="B8" s="112"/>
      <c r="C8" s="99"/>
      <c r="D8" s="112"/>
      <c r="E8" s="110"/>
      <c r="F8" s="112"/>
      <c r="G8" s="112"/>
      <c r="H8" s="112"/>
      <c r="I8" s="112"/>
      <c r="J8" s="112"/>
      <c r="K8" s="112"/>
      <c r="L8" s="112"/>
      <c r="M8" s="118"/>
    </row>
    <row r="9" spans="1:15" s="178" customFormat="1" ht="23.1" customHeight="1">
      <c r="A9" s="112"/>
      <c r="B9" s="112"/>
      <c r="C9" s="99"/>
      <c r="D9" s="112"/>
      <c r="E9" s="110"/>
      <c r="F9" s="112"/>
      <c r="G9" s="112"/>
      <c r="H9" s="112"/>
      <c r="I9" s="112"/>
      <c r="J9" s="112"/>
      <c r="K9" s="112"/>
      <c r="L9" s="112"/>
      <c r="M9" s="118"/>
    </row>
    <row r="10" spans="1:15" s="178" customFormat="1" ht="23.1" customHeight="1">
      <c r="A10" s="112"/>
      <c r="B10" s="112"/>
      <c r="C10" s="99"/>
      <c r="D10" s="112"/>
      <c r="E10" s="110"/>
      <c r="F10" s="112"/>
      <c r="G10" s="112"/>
      <c r="H10" s="112"/>
      <c r="I10" s="112"/>
      <c r="J10" s="112"/>
      <c r="K10" s="112"/>
      <c r="L10" s="112"/>
      <c r="M10" s="118"/>
    </row>
    <row r="11" spans="1:15" s="178" customFormat="1" ht="23.1" customHeight="1">
      <c r="A11" s="112"/>
      <c r="B11" s="112"/>
      <c r="C11" s="99"/>
      <c r="D11" s="112"/>
      <c r="E11" s="110"/>
      <c r="F11" s="112"/>
      <c r="G11" s="112"/>
      <c r="H11" s="112"/>
      <c r="I11" s="112"/>
      <c r="J11" s="112"/>
      <c r="K11" s="112"/>
      <c r="L11" s="112"/>
      <c r="M11" s="118"/>
    </row>
    <row r="12" spans="1:15" s="178" customFormat="1" ht="23.1" customHeight="1">
      <c r="A12" s="112"/>
      <c r="B12" s="112"/>
      <c r="C12" s="99"/>
      <c r="D12" s="112"/>
      <c r="E12" s="110"/>
      <c r="F12" s="112"/>
      <c r="G12" s="112"/>
      <c r="H12" s="112"/>
      <c r="I12" s="112"/>
      <c r="J12" s="112"/>
      <c r="K12" s="112"/>
      <c r="L12" s="112"/>
      <c r="M12" s="118"/>
    </row>
    <row r="13" spans="1:15" s="178" customFormat="1" ht="23.1" customHeight="1">
      <c r="A13" s="112"/>
      <c r="B13" s="112"/>
      <c r="C13" s="99"/>
      <c r="D13" s="112"/>
      <c r="E13" s="110"/>
      <c r="F13" s="112"/>
      <c r="G13" s="112"/>
      <c r="H13" s="112"/>
      <c r="I13" s="112"/>
      <c r="J13" s="112"/>
      <c r="K13" s="112"/>
      <c r="L13" s="112"/>
      <c r="M13" s="118"/>
    </row>
    <row r="14" spans="1:15" s="178" customFormat="1" ht="23.1" customHeight="1">
      <c r="A14" s="112"/>
      <c r="B14" s="112"/>
      <c r="C14" s="99"/>
      <c r="D14" s="112"/>
      <c r="E14" s="110"/>
      <c r="F14" s="112"/>
      <c r="G14" s="112"/>
      <c r="H14" s="112"/>
      <c r="I14" s="112"/>
      <c r="J14" s="112"/>
      <c r="K14" s="112"/>
      <c r="L14" s="112"/>
      <c r="M14" s="118"/>
    </row>
    <row r="15" spans="1:15" s="178" customFormat="1" ht="23.1" customHeight="1">
      <c r="A15" s="112"/>
      <c r="B15" s="112"/>
      <c r="C15" s="99"/>
      <c r="D15" s="112"/>
      <c r="E15" s="110"/>
      <c r="F15" s="112"/>
      <c r="G15" s="112"/>
      <c r="H15" s="112"/>
      <c r="I15" s="112"/>
      <c r="J15" s="112"/>
      <c r="K15" s="112"/>
      <c r="L15" s="112"/>
      <c r="M15" s="118"/>
    </row>
    <row r="16" spans="1:15" s="178" customFormat="1" ht="23.1" customHeight="1">
      <c r="A16" s="112"/>
      <c r="B16" s="112"/>
      <c r="C16" s="99"/>
      <c r="D16" s="112"/>
      <c r="E16" s="110"/>
      <c r="F16" s="112"/>
      <c r="G16" s="112"/>
      <c r="H16" s="112"/>
      <c r="I16" s="112"/>
      <c r="J16" s="112"/>
      <c r="K16" s="112"/>
      <c r="L16" s="112"/>
      <c r="M16" s="118"/>
    </row>
    <row r="17" spans="1:13" s="178" customFormat="1" ht="23.1" customHeight="1">
      <c r="A17" s="112"/>
      <c r="B17" s="112"/>
      <c r="C17" s="99"/>
      <c r="D17" s="112"/>
      <c r="E17" s="110"/>
      <c r="F17" s="112"/>
      <c r="G17" s="112"/>
      <c r="H17" s="112"/>
      <c r="I17" s="112"/>
      <c r="J17" s="112"/>
      <c r="K17" s="112"/>
      <c r="L17" s="112"/>
      <c r="M17" s="118"/>
    </row>
    <row r="18" spans="1:13" s="178" customFormat="1" ht="23.1" customHeight="1">
      <c r="A18" s="112"/>
      <c r="B18" s="112"/>
      <c r="C18" s="99"/>
      <c r="D18" s="112"/>
      <c r="E18" s="112"/>
      <c r="F18" s="112"/>
      <c r="G18" s="112"/>
      <c r="H18" s="112"/>
      <c r="I18" s="112"/>
      <c r="J18" s="112"/>
      <c r="K18" s="112"/>
      <c r="L18" s="112"/>
      <c r="M18" s="118"/>
    </row>
    <row r="19" spans="1:13" s="178" customFormat="1" ht="23.1" customHeight="1">
      <c r="A19" s="112"/>
      <c r="B19" s="112"/>
      <c r="C19" s="99"/>
      <c r="D19" s="112"/>
      <c r="E19" s="112"/>
      <c r="F19" s="112"/>
      <c r="G19" s="112"/>
      <c r="H19" s="112"/>
      <c r="I19" s="112"/>
      <c r="J19" s="112"/>
      <c r="K19" s="112"/>
      <c r="L19" s="112"/>
      <c r="M19" s="118"/>
    </row>
    <row r="20" spans="1:13" s="178" customFormat="1" ht="23.1" customHeight="1">
      <c r="A20" s="112"/>
      <c r="B20" s="112"/>
      <c r="C20" s="99"/>
      <c r="D20" s="112"/>
      <c r="E20" s="112"/>
      <c r="F20" s="112"/>
      <c r="G20" s="112"/>
      <c r="H20" s="112"/>
      <c r="I20" s="112"/>
      <c r="J20" s="112"/>
      <c r="K20" s="112"/>
      <c r="L20" s="112"/>
      <c r="M20" s="118"/>
    </row>
    <row r="21" spans="1:13" s="178" customFormat="1" ht="23.1" customHeight="1">
      <c r="A21" s="112"/>
      <c r="B21" s="112"/>
      <c r="C21" s="99"/>
      <c r="D21" s="112"/>
      <c r="E21" s="112"/>
      <c r="F21" s="112"/>
      <c r="G21" s="112"/>
      <c r="H21" s="112"/>
      <c r="I21" s="112"/>
      <c r="J21" s="112"/>
      <c r="K21" s="112"/>
      <c r="L21" s="112"/>
      <c r="M21" s="118"/>
    </row>
    <row r="22" spans="1:13" s="178" customFormat="1" ht="23.1" customHeight="1">
      <c r="A22" s="112"/>
      <c r="B22" s="112"/>
      <c r="C22" s="99"/>
      <c r="D22" s="112"/>
      <c r="E22" s="112"/>
      <c r="F22" s="112"/>
      <c r="G22" s="112"/>
      <c r="H22" s="112"/>
      <c r="I22" s="112"/>
      <c r="J22" s="112"/>
      <c r="K22" s="112"/>
      <c r="L22" s="112"/>
      <c r="M22" s="118"/>
    </row>
    <row r="23" spans="1:13" s="178" customFormat="1" ht="23.1" customHeight="1">
      <c r="A23" s="112"/>
      <c r="B23" s="112"/>
      <c r="C23" s="99"/>
      <c r="D23" s="112"/>
      <c r="E23" s="112"/>
      <c r="F23" s="112"/>
      <c r="G23" s="112"/>
      <c r="H23" s="112"/>
      <c r="I23" s="112"/>
      <c r="J23" s="112"/>
      <c r="K23" s="112"/>
      <c r="L23" s="112"/>
      <c r="M23" s="118"/>
    </row>
    <row r="24" spans="1:13" s="178" customFormat="1" ht="23.1" customHeight="1">
      <c r="A24" s="112"/>
      <c r="B24" s="112"/>
      <c r="C24" s="99"/>
      <c r="D24" s="112"/>
      <c r="E24" s="112"/>
      <c r="F24" s="112"/>
      <c r="G24" s="112"/>
      <c r="H24" s="112"/>
      <c r="I24" s="112"/>
      <c r="J24" s="112"/>
      <c r="K24" s="112"/>
      <c r="L24" s="112"/>
      <c r="M24" s="118"/>
    </row>
    <row r="25" spans="1:13" s="178" customFormat="1" ht="23.1" customHeight="1">
      <c r="A25" s="112"/>
      <c r="B25" s="112"/>
      <c r="C25" s="99"/>
      <c r="D25" s="112"/>
      <c r="E25" s="112"/>
      <c r="F25" s="112"/>
      <c r="G25" s="112"/>
      <c r="H25" s="112"/>
      <c r="I25" s="112"/>
      <c r="J25" s="112"/>
      <c r="K25" s="112"/>
      <c r="L25" s="112"/>
      <c r="M25" s="118"/>
    </row>
    <row r="26" spans="1:13" s="178" customFormat="1" ht="23.1" customHeight="1">
      <c r="A26" s="112"/>
      <c r="B26" s="112"/>
      <c r="C26" s="99"/>
      <c r="D26" s="112"/>
      <c r="E26" s="112"/>
      <c r="F26" s="112"/>
      <c r="G26" s="112"/>
      <c r="H26" s="112"/>
      <c r="I26" s="112"/>
      <c r="J26" s="112"/>
      <c r="K26" s="112"/>
      <c r="L26" s="112"/>
      <c r="M26" s="118"/>
    </row>
    <row r="27" spans="1:13" s="178" customFormat="1" ht="23.1" customHeight="1">
      <c r="A27" s="112"/>
      <c r="B27" s="112"/>
      <c r="C27" s="99"/>
      <c r="D27" s="112"/>
      <c r="E27" s="112"/>
      <c r="F27" s="112"/>
      <c r="G27" s="112"/>
      <c r="H27" s="112"/>
      <c r="I27" s="112"/>
      <c r="J27" s="112"/>
      <c r="K27" s="112"/>
      <c r="L27" s="112"/>
      <c r="M27" s="118"/>
    </row>
    <row r="28" spans="1:13" s="178" customFormat="1" ht="23.1" customHeight="1">
      <c r="A28" s="112"/>
      <c r="B28" s="112"/>
      <c r="C28" s="99"/>
      <c r="D28" s="112"/>
      <c r="E28" s="112"/>
      <c r="F28" s="112"/>
      <c r="G28" s="112"/>
      <c r="H28" s="112"/>
      <c r="I28" s="112"/>
      <c r="J28" s="112"/>
      <c r="K28" s="112"/>
      <c r="L28" s="112"/>
      <c r="M28" s="118"/>
    </row>
    <row r="29" spans="1:13" s="178" customFormat="1" ht="23.1" customHeight="1">
      <c r="A29" s="112"/>
      <c r="B29" s="112"/>
      <c r="C29" s="99"/>
      <c r="D29" s="112"/>
      <c r="E29" s="112"/>
      <c r="F29" s="112"/>
      <c r="G29" s="112"/>
      <c r="H29" s="112"/>
      <c r="I29" s="112"/>
      <c r="J29" s="112"/>
      <c r="K29" s="112"/>
      <c r="L29" s="112"/>
      <c r="M29" s="118"/>
    </row>
    <row r="30" spans="1:13" s="178" customFormat="1" ht="23.1" customHeight="1">
      <c r="A30" s="112"/>
      <c r="B30" s="112"/>
      <c r="C30" s="99"/>
      <c r="D30" s="112"/>
      <c r="E30" s="112"/>
      <c r="F30" s="112"/>
      <c r="G30" s="112"/>
      <c r="H30" s="112"/>
      <c r="I30" s="112"/>
      <c r="J30" s="112"/>
      <c r="K30" s="112"/>
      <c r="L30" s="112"/>
      <c r="M30" s="118"/>
    </row>
    <row r="31" spans="1:13" s="178" customFormat="1" ht="23.1" customHeight="1">
      <c r="A31" s="112"/>
      <c r="B31" s="112"/>
      <c r="C31" s="99"/>
      <c r="D31" s="112"/>
      <c r="E31" s="112"/>
      <c r="F31" s="112"/>
      <c r="G31" s="112"/>
      <c r="H31" s="112"/>
      <c r="I31" s="112"/>
      <c r="J31" s="112"/>
      <c r="K31" s="112"/>
      <c r="L31" s="112"/>
      <c r="M31" s="118"/>
    </row>
    <row r="32" spans="1:13" s="178" customFormat="1" ht="23.1" customHeight="1">
      <c r="A32" s="112"/>
      <c r="B32" s="112"/>
      <c r="C32" s="99"/>
      <c r="D32" s="112"/>
      <c r="E32" s="112"/>
      <c r="F32" s="112"/>
      <c r="G32" s="112"/>
      <c r="H32" s="112"/>
      <c r="I32" s="112"/>
      <c r="J32" s="112"/>
      <c r="K32" s="112"/>
      <c r="L32" s="112"/>
      <c r="M32" s="118"/>
    </row>
    <row r="33" spans="1:13" s="178" customFormat="1" ht="23.1" customHeight="1">
      <c r="A33" s="112"/>
      <c r="B33" s="112"/>
      <c r="C33" s="99"/>
      <c r="D33" s="112"/>
      <c r="E33" s="112"/>
      <c r="F33" s="112"/>
      <c r="G33" s="112"/>
      <c r="H33" s="112"/>
      <c r="I33" s="112"/>
      <c r="J33" s="112"/>
      <c r="K33" s="112"/>
      <c r="L33" s="112"/>
      <c r="M33" s="118"/>
    </row>
    <row r="34" spans="1:13" s="178" customFormat="1" ht="23.1" customHeight="1">
      <c r="A34" s="112"/>
      <c r="B34" s="112"/>
      <c r="C34" s="99"/>
      <c r="D34" s="112"/>
      <c r="E34" s="112"/>
      <c r="F34" s="112"/>
      <c r="G34" s="112"/>
      <c r="H34" s="112"/>
      <c r="I34" s="112"/>
      <c r="J34" s="112"/>
      <c r="K34" s="112"/>
      <c r="L34" s="112"/>
      <c r="M34" s="118"/>
    </row>
    <row r="35" spans="1:13" s="178" customFormat="1" ht="23.1" customHeight="1">
      <c r="A35" s="112"/>
      <c r="B35" s="112"/>
      <c r="C35" s="99"/>
      <c r="D35" s="112"/>
      <c r="E35" s="112"/>
      <c r="F35" s="112"/>
      <c r="G35" s="112"/>
      <c r="H35" s="112"/>
      <c r="I35" s="112"/>
      <c r="J35" s="112"/>
      <c r="K35" s="112"/>
      <c r="L35" s="112"/>
      <c r="M35" s="118"/>
    </row>
    <row r="36" spans="1:13" ht="23.1" customHeight="1">
      <c r="M36" s="182"/>
    </row>
    <row r="37" spans="1:13" ht="23.1" customHeight="1">
      <c r="M37" s="182"/>
    </row>
    <row r="38" spans="1:13" ht="23.1" customHeight="1">
      <c r="M38" s="182"/>
    </row>
    <row r="39" spans="1:13" ht="23.1" customHeight="1">
      <c r="M39" s="182"/>
    </row>
    <row r="40" spans="1:13" ht="23.1" customHeight="1">
      <c r="M40" s="182"/>
    </row>
    <row r="41" spans="1:13" ht="23.1" customHeight="1">
      <c r="M41" s="182"/>
    </row>
    <row r="42" spans="1:13" ht="23.1" customHeight="1">
      <c r="M42" s="182"/>
    </row>
    <row r="43" spans="1:13" ht="23.1" customHeight="1">
      <c r="M43" s="182"/>
    </row>
    <row r="44" spans="1:13" ht="23.1" customHeight="1">
      <c r="M44" s="182"/>
    </row>
    <row r="45" spans="1:13" ht="23.1" customHeight="1">
      <c r="M45" s="182"/>
    </row>
    <row r="46" spans="1:13" ht="23.1" customHeight="1">
      <c r="M46" s="182"/>
    </row>
    <row r="47" spans="1:13" ht="23.1" customHeight="1">
      <c r="M47" s="182"/>
    </row>
    <row r="48" spans="1:13" ht="23.1" customHeight="1">
      <c r="M48" s="182"/>
    </row>
    <row r="49" spans="13:13" ht="23.1" customHeight="1">
      <c r="M49" s="182"/>
    </row>
    <row r="50" spans="13:13" ht="23.1" customHeight="1">
      <c r="M50" s="182"/>
    </row>
    <row r="51" spans="13:13" ht="23.1" customHeight="1">
      <c r="M51" s="182"/>
    </row>
    <row r="52" spans="13:13" ht="23.1" customHeight="1">
      <c r="M52" s="182"/>
    </row>
    <row r="53" spans="13:13" ht="23.1" customHeight="1">
      <c r="M53" s="182"/>
    </row>
    <row r="54" spans="13:13" ht="23.1" customHeight="1">
      <c r="M54" s="182"/>
    </row>
    <row r="55" spans="13:13" ht="23.1" customHeight="1">
      <c r="M55" s="182"/>
    </row>
    <row r="56" spans="13:13" ht="23.1" customHeight="1">
      <c r="M56" s="182"/>
    </row>
    <row r="57" spans="13:13" ht="23.1" customHeight="1">
      <c r="M57" s="182"/>
    </row>
    <row r="58" spans="13:13" ht="23.1" customHeight="1">
      <c r="M58" s="182"/>
    </row>
    <row r="59" spans="13:13" ht="23.1" customHeight="1">
      <c r="M59" s="182"/>
    </row>
    <row r="60" spans="13:13" ht="23.1" customHeight="1">
      <c r="M60" s="182"/>
    </row>
    <row r="61" spans="13:13" ht="23.1" customHeight="1">
      <c r="M61" s="182"/>
    </row>
    <row r="62" spans="13:13" ht="23.1" customHeight="1">
      <c r="M62" s="182"/>
    </row>
    <row r="63" spans="13:13" ht="23.1" customHeight="1">
      <c r="M63" s="182"/>
    </row>
    <row r="64" spans="13:13" ht="23.1" customHeight="1">
      <c r="M64" s="182"/>
    </row>
    <row r="65" spans="13:13" ht="23.1" customHeight="1">
      <c r="M65" s="182"/>
    </row>
    <row r="66" spans="13:13" ht="23.1" customHeight="1">
      <c r="M66" s="182"/>
    </row>
    <row r="67" spans="13:13" ht="23.1" customHeight="1">
      <c r="M67" s="182"/>
    </row>
    <row r="68" spans="13:13" ht="23.1" customHeight="1">
      <c r="M68" s="182"/>
    </row>
    <row r="69" spans="13:13" ht="23.1" customHeight="1">
      <c r="M69" s="182"/>
    </row>
    <row r="70" spans="13:13" ht="23.1" customHeight="1">
      <c r="M70" s="182"/>
    </row>
    <row r="71" spans="13:13" ht="23.1" customHeight="1">
      <c r="M71" s="182"/>
    </row>
    <row r="72" spans="13:13" ht="23.1" customHeight="1">
      <c r="M72" s="182"/>
    </row>
    <row r="73" spans="13:13" ht="23.1" customHeight="1">
      <c r="M73" s="182"/>
    </row>
    <row r="74" spans="13:13" ht="23.1" customHeight="1">
      <c r="M74" s="182"/>
    </row>
    <row r="75" spans="13:13" ht="23.1" customHeight="1">
      <c r="M75" s="182"/>
    </row>
    <row r="76" spans="13:13" ht="23.1" customHeight="1">
      <c r="M76" s="182"/>
    </row>
    <row r="77" spans="13:13" ht="23.1" customHeight="1">
      <c r="M77" s="182"/>
    </row>
    <row r="78" spans="13:13" ht="23.1" customHeight="1">
      <c r="M78" s="182"/>
    </row>
    <row r="79" spans="13:13" ht="23.1" customHeight="1">
      <c r="M79" s="182"/>
    </row>
    <row r="80" spans="13:13" ht="23.1" customHeight="1">
      <c r="M80" s="182"/>
    </row>
    <row r="81" spans="13:13" ht="23.1" customHeight="1">
      <c r="M81" s="182"/>
    </row>
    <row r="82" spans="13:13" ht="23.1" customHeight="1">
      <c r="M82" s="182"/>
    </row>
    <row r="83" spans="13:13" ht="23.1" customHeight="1">
      <c r="M83" s="182"/>
    </row>
    <row r="84" spans="13:13" ht="23.1" customHeight="1">
      <c r="M84" s="182"/>
    </row>
    <row r="85" spans="13:13" ht="23.1" customHeight="1">
      <c r="M85" s="182"/>
    </row>
    <row r="86" spans="13:13" ht="23.1" customHeight="1">
      <c r="M86" s="182"/>
    </row>
    <row r="87" spans="13:13" ht="23.1" customHeight="1">
      <c r="M87" s="182"/>
    </row>
    <row r="88" spans="13:13" ht="23.1" customHeight="1">
      <c r="M88" s="182"/>
    </row>
    <row r="89" spans="13:13" ht="23.1" customHeight="1">
      <c r="M89" s="182"/>
    </row>
    <row r="90" spans="13:13" ht="23.1" customHeight="1">
      <c r="M90" s="182"/>
    </row>
    <row r="91" spans="13:13" ht="23.1" customHeight="1">
      <c r="M91" s="182"/>
    </row>
    <row r="92" spans="13:13" ht="23.1" customHeight="1">
      <c r="M92" s="182"/>
    </row>
    <row r="93" spans="13:13" ht="23.1" customHeight="1">
      <c r="M93" s="182"/>
    </row>
    <row r="94" spans="13:13" ht="23.1" customHeight="1">
      <c r="M94" s="182"/>
    </row>
    <row r="95" spans="13:13" ht="23.1" customHeight="1">
      <c r="M95" s="182"/>
    </row>
    <row r="96" spans="13:13" ht="23.1" customHeight="1">
      <c r="M96" s="182"/>
    </row>
    <row r="97" spans="13:13" ht="23.1" customHeight="1">
      <c r="M97" s="182"/>
    </row>
    <row r="98" spans="13:13" ht="23.1" customHeight="1">
      <c r="M98" s="182"/>
    </row>
    <row r="99" spans="13:13" ht="23.1" customHeight="1">
      <c r="M99" s="182"/>
    </row>
    <row r="100" spans="13:13" ht="23.1" customHeight="1">
      <c r="M100" s="182"/>
    </row>
    <row r="101" spans="13:13" ht="23.1" customHeight="1">
      <c r="M101" s="182"/>
    </row>
    <row r="102" spans="13:13" ht="23.1" customHeight="1">
      <c r="M102" s="182"/>
    </row>
    <row r="103" spans="13:13" ht="23.1" customHeight="1">
      <c r="M103" s="182"/>
    </row>
    <row r="104" spans="13:13" ht="23.1" customHeight="1">
      <c r="M104" s="182"/>
    </row>
    <row r="105" spans="13:13" ht="23.1" customHeight="1">
      <c r="M105" s="182"/>
    </row>
    <row r="106" spans="13:13" ht="23.1" customHeight="1">
      <c r="M106" s="182"/>
    </row>
    <row r="107" spans="13:13" ht="23.1" customHeight="1">
      <c r="M107" s="182"/>
    </row>
    <row r="108" spans="13:13" ht="23.1" customHeight="1">
      <c r="M108" s="182"/>
    </row>
    <row r="109" spans="13:13" ht="23.1" customHeight="1">
      <c r="M109" s="182"/>
    </row>
    <row r="110" spans="13:13" ht="23.1" customHeight="1">
      <c r="M110" s="182"/>
    </row>
    <row r="111" spans="13:13" ht="23.1" customHeight="1">
      <c r="M111" s="182"/>
    </row>
    <row r="112" spans="13:13" ht="23.1" customHeight="1">
      <c r="M112" s="182"/>
    </row>
    <row r="113" spans="13:13" ht="23.1" customHeight="1">
      <c r="M113" s="182"/>
    </row>
    <row r="114" spans="13:13" ht="23.1" customHeight="1">
      <c r="M114" s="182"/>
    </row>
    <row r="115" spans="13:13" ht="23.1" customHeight="1">
      <c r="M115" s="182"/>
    </row>
    <row r="116" spans="13:13" ht="23.1" customHeight="1">
      <c r="M116" s="182"/>
    </row>
    <row r="117" spans="13:13" ht="23.1" customHeight="1">
      <c r="M117" s="182"/>
    </row>
    <row r="118" spans="13:13" ht="23.1" customHeight="1">
      <c r="M118" s="182"/>
    </row>
    <row r="119" spans="13:13" ht="23.1" customHeight="1">
      <c r="M119" s="182"/>
    </row>
    <row r="120" spans="13:13" ht="23.1" customHeight="1">
      <c r="M120" s="182"/>
    </row>
    <row r="121" spans="13:13" ht="23.1" customHeight="1">
      <c r="M121" s="182"/>
    </row>
    <row r="122" spans="13:13" ht="23.1" customHeight="1">
      <c r="M122" s="182"/>
    </row>
    <row r="123" spans="13:13" ht="23.1" customHeight="1">
      <c r="M123" s="182"/>
    </row>
    <row r="124" spans="13:13" ht="23.1" customHeight="1">
      <c r="M124" s="182"/>
    </row>
  </sheetData>
  <mergeCells count="10">
    <mergeCell ref="M1:M2"/>
    <mergeCell ref="A3:B3"/>
    <mergeCell ref="E1:F1"/>
    <mergeCell ref="G1:H1"/>
    <mergeCell ref="I1:J1"/>
    <mergeCell ref="K1:L1"/>
    <mergeCell ref="A1:A2"/>
    <mergeCell ref="B1:B2"/>
    <mergeCell ref="C1:C2"/>
    <mergeCell ref="D1:D2"/>
  </mergeCells>
  <phoneticPr fontId="4" type="noConversion"/>
  <pageMargins left="0.72" right="0" top="1.01" bottom="0.35433070866141736" header="0.57999999999999996" footer="0.23622047244094491"/>
  <pageSetup paperSize="9" orientation="landscape" r:id="rId1"/>
  <headerFooter alignWithMargins="0">
    <oddHeader xml:space="preserve">&amp;L&amp;12  &amp;C&amp;"굴림체,굵게"&amp;20설  계  내  역  서&amp;R&amp;"굴림체,보통"&amp;10 </oddHeader>
    <oddFooter xml:space="preserve">&amp;C&amp;"Arial,보통"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49</vt:i4>
      </vt:variant>
      <vt:variant>
        <vt:lpstr>차트</vt:lpstr>
      </vt:variant>
      <vt:variant>
        <vt:i4>1</vt:i4>
      </vt:variant>
      <vt:variant>
        <vt:lpstr>이름 지정된 범위</vt:lpstr>
      </vt:variant>
      <vt:variant>
        <vt:i4>69</vt:i4>
      </vt:variant>
    </vt:vector>
  </HeadingPairs>
  <TitlesOfParts>
    <vt:vector size="119" baseType="lpstr">
      <vt:lpstr>표지1</vt:lpstr>
      <vt:lpstr>표지(갑지)</vt:lpstr>
      <vt:lpstr>원가계산</vt:lpstr>
      <vt:lpstr>수수료</vt:lpstr>
      <vt:lpstr>집계표</vt:lpstr>
      <vt:lpstr>내역서</vt:lpstr>
      <vt:lpstr>작업부산물</vt:lpstr>
      <vt:lpstr>관급(도급자)</vt:lpstr>
      <vt:lpstr>표지2</vt:lpstr>
      <vt:lpstr>관급자재</vt:lpstr>
      <vt:lpstr>일위집계</vt:lpstr>
      <vt:lpstr>전기일위</vt:lpstr>
      <vt:lpstr>중기사용료--</vt:lpstr>
      <vt:lpstr>중기사용료</vt:lpstr>
      <vt:lpstr>단가산출</vt:lpstr>
      <vt:lpstr>기계경비</vt:lpstr>
      <vt:lpstr>표지4-</vt:lpstr>
      <vt:lpstr>일위산근</vt:lpstr>
      <vt:lpstr>표지3</vt:lpstr>
      <vt:lpstr>3.사회과학관(산)</vt:lpstr>
      <vt:lpstr>표지4</vt:lpstr>
      <vt:lpstr>터파기</vt:lpstr>
      <vt:lpstr>가로등 (2)</vt:lpstr>
      <vt:lpstr>1-3.본관소화기(산)</vt:lpstr>
      <vt:lpstr>1-4.동력</vt:lpstr>
      <vt:lpstr>1-4.동력(산)</vt:lpstr>
      <vt:lpstr>1.인입</vt:lpstr>
      <vt:lpstr>1.인입(산)</vt:lpstr>
      <vt:lpstr>2.외등</vt:lpstr>
      <vt:lpstr>2.외등(산)</vt:lpstr>
      <vt:lpstr>고재산출(STS)</vt:lpstr>
      <vt:lpstr>표지5 (3)</vt:lpstr>
      <vt:lpstr>고재</vt:lpstr>
      <vt:lpstr>3.동력</vt:lpstr>
      <vt:lpstr>3.동력(산)</vt:lpstr>
      <vt:lpstr>2.간선</vt:lpstr>
      <vt:lpstr>2.간선(산)</vt:lpstr>
      <vt:lpstr>고재산출(고철)</vt:lpstr>
      <vt:lpstr>9.태양광</vt:lpstr>
      <vt:lpstr>9.태양광(산)</vt:lpstr>
      <vt:lpstr>11.피뢰</vt:lpstr>
      <vt:lpstr>11.피뢰(산)</vt:lpstr>
      <vt:lpstr>10.가설</vt:lpstr>
      <vt:lpstr>10.가설(산)</vt:lpstr>
      <vt:lpstr>고재산출</vt:lpstr>
      <vt:lpstr>표지5</vt:lpstr>
      <vt:lpstr>단가</vt:lpstr>
      <vt:lpstr>표지5 (2)</vt:lpstr>
      <vt:lpstr>폐기물처리</vt:lpstr>
      <vt:lpstr>Chart1</vt:lpstr>
      <vt:lpstr>'1.인입'!Print_Area</vt:lpstr>
      <vt:lpstr>'1.인입(산)'!Print_Area</vt:lpstr>
      <vt:lpstr>'10.가설'!Print_Area</vt:lpstr>
      <vt:lpstr>'10.가설(산)'!Print_Area</vt:lpstr>
      <vt:lpstr>'11.피뢰'!Print_Area</vt:lpstr>
      <vt:lpstr>'11.피뢰(산)'!Print_Area</vt:lpstr>
      <vt:lpstr>'1-3.본관소화기(산)'!Print_Area</vt:lpstr>
      <vt:lpstr>'1-4.동력'!Print_Area</vt:lpstr>
      <vt:lpstr>'1-4.동력(산)'!Print_Area</vt:lpstr>
      <vt:lpstr>'2.간선'!Print_Area</vt:lpstr>
      <vt:lpstr>'2.간선(산)'!Print_Area</vt:lpstr>
      <vt:lpstr>'2.외등'!Print_Area</vt:lpstr>
      <vt:lpstr>'2.외등(산)'!Print_Area</vt:lpstr>
      <vt:lpstr>'3.동력'!Print_Area</vt:lpstr>
      <vt:lpstr>'3.동력(산)'!Print_Area</vt:lpstr>
      <vt:lpstr>'3.사회과학관(산)'!Print_Area</vt:lpstr>
      <vt:lpstr>'9.태양광'!Print_Area</vt:lpstr>
      <vt:lpstr>'9.태양광(산)'!Print_Area</vt:lpstr>
      <vt:lpstr>'가로등 (2)'!Print_Area</vt:lpstr>
      <vt:lpstr>고재!Print_Area</vt:lpstr>
      <vt:lpstr>'고재산출(STS)'!Print_Area</vt:lpstr>
      <vt:lpstr>'고재산출(고철)'!Print_Area</vt:lpstr>
      <vt:lpstr>'관급(도급자)'!Print_Area</vt:lpstr>
      <vt:lpstr>기계경비!Print_Area</vt:lpstr>
      <vt:lpstr>내역서!Print_Area</vt:lpstr>
      <vt:lpstr>단가!Print_Area</vt:lpstr>
      <vt:lpstr>수수료!Print_Area</vt:lpstr>
      <vt:lpstr>원가계산!Print_Area</vt:lpstr>
      <vt:lpstr>일위산근!Print_Area</vt:lpstr>
      <vt:lpstr>일위집계!Print_Area</vt:lpstr>
      <vt:lpstr>작업부산물!Print_Area</vt:lpstr>
      <vt:lpstr>전기일위!Print_Area</vt:lpstr>
      <vt:lpstr>중기사용료!Print_Area</vt:lpstr>
      <vt:lpstr>'중기사용료--'!Print_Area</vt:lpstr>
      <vt:lpstr>집계표!Print_Area</vt:lpstr>
      <vt:lpstr>터파기!Print_Area</vt:lpstr>
      <vt:lpstr>폐기물처리!Print_Area</vt:lpstr>
      <vt:lpstr>'1.인입'!Print_Titles</vt:lpstr>
      <vt:lpstr>'1.인입(산)'!Print_Titles</vt:lpstr>
      <vt:lpstr>'10.가설'!Print_Titles</vt:lpstr>
      <vt:lpstr>'10.가설(산)'!Print_Titles</vt:lpstr>
      <vt:lpstr>'11.피뢰'!Print_Titles</vt:lpstr>
      <vt:lpstr>'11.피뢰(산)'!Print_Titles</vt:lpstr>
      <vt:lpstr>'1-3.본관소화기(산)'!Print_Titles</vt:lpstr>
      <vt:lpstr>'1-4.동력'!Print_Titles</vt:lpstr>
      <vt:lpstr>'1-4.동력(산)'!Print_Titles</vt:lpstr>
      <vt:lpstr>'2.간선'!Print_Titles</vt:lpstr>
      <vt:lpstr>'2.간선(산)'!Print_Titles</vt:lpstr>
      <vt:lpstr>'2.외등'!Print_Titles</vt:lpstr>
      <vt:lpstr>'2.외등(산)'!Print_Titles</vt:lpstr>
      <vt:lpstr>'3.동력'!Print_Titles</vt:lpstr>
      <vt:lpstr>'3.동력(산)'!Print_Titles</vt:lpstr>
      <vt:lpstr>'3.사회과학관(산)'!Print_Titles</vt:lpstr>
      <vt:lpstr>'9.태양광'!Print_Titles</vt:lpstr>
      <vt:lpstr>'9.태양광(산)'!Print_Titles</vt:lpstr>
      <vt:lpstr>고재!Print_Titles</vt:lpstr>
      <vt:lpstr>고재산출!Print_Titles</vt:lpstr>
      <vt:lpstr>'고재산출(STS)'!Print_Titles</vt:lpstr>
      <vt:lpstr>'고재산출(고철)'!Print_Titles</vt:lpstr>
      <vt:lpstr>'관급(도급자)'!Print_Titles</vt:lpstr>
      <vt:lpstr>내역서!Print_Titles</vt:lpstr>
      <vt:lpstr>단가!Print_Titles</vt:lpstr>
      <vt:lpstr>수수료!Print_Titles</vt:lpstr>
      <vt:lpstr>일위산근!Print_Titles</vt:lpstr>
      <vt:lpstr>일위집계!Print_Titles</vt:lpstr>
      <vt:lpstr>작업부산물!Print_Titles</vt:lpstr>
      <vt:lpstr>전기일위!Print_Titles</vt:lpstr>
      <vt:lpstr>집계표!Print_Titles</vt:lpstr>
      <vt:lpstr>폐기물처리!Print_Titles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2026-08-11T05:48:55Z</cp:lastPrinted>
  <dcterms:created xsi:type="dcterms:W3CDTF">1999-10-25T00:27:55Z</dcterms:created>
  <dcterms:modified xsi:type="dcterms:W3CDTF">2026-08-24T23:59:59Z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  <property fmtid="{D5CDD505-2E9C-101B-9397-08002B2CF9AE}" pid="112" name="IVIDF1F15E9">
    <vt:lpwstr/>
  </property>
  <property fmtid="{D5CDD505-2E9C-101B-9397-08002B2CF9AE}" pid="113" name="IVID145F19DA">
    <vt:lpwstr/>
  </property>
  <property fmtid="{D5CDD505-2E9C-101B-9397-08002B2CF9AE}" pid="114" name="IVIDE2D13D5">
    <vt:lpwstr/>
  </property>
</Properties>
</file>